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610" yWindow="0" windowWidth="14040" windowHeight="12690" tabRatio="791"/>
  </bookViews>
  <sheets>
    <sheet name="VALOR_PROPOSTA" sheetId="17" r:id="rId1"/>
    <sheet name="RESUMO_PROPOSTA" sheetId="15" r:id="rId2"/>
    <sheet name="EPI" sheetId="2" r:id="rId3"/>
    <sheet name="UNIF" sheetId="3" r:id="rId4"/>
    <sheet name="MAT_LIMP" sheetId="4" r:id="rId5"/>
    <sheet name="MAT_COPEI" sheetId="5" r:id="rId6"/>
    <sheet name="EQUIP_FERR" sheetId="6" r:id="rId7"/>
    <sheet name="BENEFICIOS" sheetId="1" r:id="rId8"/>
    <sheet name="ALMOXARIFE" sheetId="7" r:id="rId9"/>
    <sheet name="COPEIRO" sheetId="8" r:id="rId10"/>
    <sheet name="AUX_LIMP" sheetId="9" r:id="rId11"/>
    <sheet name="ENCARREGADO" sheetId="14" r:id="rId12"/>
    <sheet name="AUX_LIMP_40%" sheetId="11" r:id="rId13"/>
    <sheet name="ENCARREGADO_40%" sheetId="13" r:id="rId14"/>
    <sheet name="M²" sheetId="16" r:id="rId15"/>
  </sheets>
  <definedNames>
    <definedName name="_xlnm._FilterDatabase" localSheetId="8" hidden="1">ALMOXARIFE!$A$1:$E$11</definedName>
    <definedName name="_xlnm._FilterDatabase" localSheetId="10" hidden="1">AUX_LIMP!$A$1:$E$11</definedName>
    <definedName name="_xlnm._FilterDatabase" localSheetId="12" hidden="1">'AUX_LIMP_40%'!$A$1:$E$11</definedName>
    <definedName name="_xlnm._FilterDatabase" localSheetId="9" hidden="1">COPEIRO!$A$1:$E$11</definedName>
    <definedName name="_xlnm._FilterDatabase" localSheetId="11" hidden="1">ENCARREGADO!$A$1:$E$11</definedName>
    <definedName name="_xlnm._FilterDatabase" localSheetId="13" hidden="1">'ENCARREGADO_40%'!$A$1:$E$11</definedName>
    <definedName name="_xlnm.Print_Area" localSheetId="8">ALMOXARIFE!$A$1:$D$114</definedName>
    <definedName name="_xlnm.Print_Area" localSheetId="10">AUX_LIMP!$A$1:$D$114</definedName>
    <definedName name="_xlnm.Print_Area" localSheetId="12">'AUX_LIMP_40%'!$A$1:$D$114</definedName>
    <definedName name="_xlnm.Print_Area" localSheetId="7">BENEFICIOS!$A$1:$B$13</definedName>
    <definedName name="_xlnm.Print_Area" localSheetId="9">COPEIRO!$A$1:$D$114</definedName>
    <definedName name="_xlnm.Print_Area" localSheetId="11">ENCARREGADO!$A$1:$D$115</definedName>
    <definedName name="_xlnm.Print_Area" localSheetId="13">'ENCARREGADO_40%'!$A$1:$D$115</definedName>
    <definedName name="_xlnm.Print_Area" localSheetId="2">EPI!$A$1:$H$9</definedName>
    <definedName name="_xlnm.Print_Area" localSheetId="6">EQUIP_FERR!$A$1:$F$71</definedName>
    <definedName name="_xlnm.Print_Area" localSheetId="5">MAT_COPEI!$A$1:$H$31</definedName>
    <definedName name="_xlnm.Print_Area" localSheetId="4">MAT_LIMP!$A$1:$G$67</definedName>
    <definedName name="_xlnm.Print_Area" localSheetId="1">RESUMO_PROPOSTA!$A$1:$G$34</definedName>
    <definedName name="_xlnm.Print_Area" localSheetId="3">UNIF!$A$1:$E$24</definedName>
    <definedName name="_xlnm.Print_Titles" localSheetId="6">EQUIP_FERR!$1:$4</definedName>
    <definedName name="_xlnm.Print_Titles" localSheetId="4">MAT_LIMP!$3:$4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16" l="1"/>
  <c r="E68" i="16"/>
  <c r="E67" i="16"/>
  <c r="E62" i="16"/>
  <c r="E59" i="16"/>
  <c r="E58" i="16"/>
  <c r="E53" i="16"/>
  <c r="E50" i="16"/>
  <c r="E49" i="16"/>
  <c r="E44" i="16"/>
  <c r="E41" i="16"/>
  <c r="E40" i="16"/>
  <c r="E35" i="16"/>
  <c r="E32" i="16"/>
  <c r="E31" i="16"/>
  <c r="E26" i="16"/>
  <c r="E23" i="16"/>
  <c r="E22" i="16"/>
  <c r="E17" i="16"/>
  <c r="E14" i="16"/>
  <c r="E13" i="16"/>
  <c r="E8" i="16"/>
  <c r="E5" i="16"/>
  <c r="E4" i="16"/>
  <c r="G5" i="5" l="1"/>
  <c r="G6" i="5"/>
  <c r="G7" i="5"/>
  <c r="G8" i="5"/>
  <c r="G9" i="5"/>
  <c r="G10" i="5"/>
  <c r="G11" i="5"/>
  <c r="G12" i="5"/>
  <c r="E5" i="17" l="1"/>
  <c r="E6" i="17"/>
  <c r="E7" i="17"/>
  <c r="E8" i="17"/>
  <c r="E9" i="17"/>
  <c r="E10" i="17"/>
  <c r="E11" i="17"/>
  <c r="E4" i="17"/>
  <c r="A7" i="4" l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" i="4"/>
  <c r="A36" i="6"/>
  <c r="C56" i="7" l="1"/>
  <c r="F28" i="6"/>
  <c r="C103" i="7" l="1"/>
  <c r="C98" i="7"/>
  <c r="C80" i="7"/>
  <c r="B4" i="16"/>
  <c r="E21" i="3"/>
  <c r="E70" i="16" l="1"/>
  <c r="E61" i="16"/>
  <c r="C68" i="16"/>
  <c r="B68" i="16"/>
  <c r="B67" i="16"/>
  <c r="E52" i="16"/>
  <c r="B59" i="16"/>
  <c r="C59" i="16"/>
  <c r="B58" i="16"/>
  <c r="B50" i="16"/>
  <c r="C49" i="16"/>
  <c r="C50" i="16" s="1"/>
  <c r="B49" i="16"/>
  <c r="C40" i="16"/>
  <c r="C41" i="16" s="1"/>
  <c r="E43" i="16"/>
  <c r="B41" i="16"/>
  <c r="B40" i="16"/>
  <c r="E34" i="16"/>
  <c r="C32" i="16"/>
  <c r="B32" i="16"/>
  <c r="B31" i="16"/>
  <c r="E25" i="16"/>
  <c r="C23" i="16"/>
  <c r="B23" i="16"/>
  <c r="B22" i="16"/>
  <c r="E16" i="16"/>
  <c r="C14" i="16"/>
  <c r="B14" i="16"/>
  <c r="B13" i="16"/>
  <c r="E7" i="16"/>
  <c r="C5" i="16"/>
  <c r="B5" i="16"/>
  <c r="C99" i="14"/>
  <c r="C104" i="14"/>
  <c r="C80" i="14"/>
  <c r="C79" i="14"/>
  <c r="C63" i="14"/>
  <c r="C61" i="14"/>
  <c r="C62" i="14" s="1"/>
  <c r="C58" i="14"/>
  <c r="C56" i="14"/>
  <c r="C57" i="14" s="1"/>
  <c r="C41" i="14"/>
  <c r="C81" i="14" s="1"/>
  <c r="C30" i="14"/>
  <c r="C29" i="14"/>
  <c r="C28" i="14"/>
  <c r="D21" i="14"/>
  <c r="D77" i="14" s="1"/>
  <c r="D14" i="14"/>
  <c r="C99" i="13"/>
  <c r="C104" i="13" s="1"/>
  <c r="C80" i="13"/>
  <c r="C79" i="13"/>
  <c r="C63" i="13"/>
  <c r="C61" i="13"/>
  <c r="C58" i="13"/>
  <c r="C56" i="13"/>
  <c r="C57" i="13" s="1"/>
  <c r="C41" i="13"/>
  <c r="C81" i="13" s="1"/>
  <c r="C30" i="13"/>
  <c r="C29" i="13"/>
  <c r="C28" i="13"/>
  <c r="D21" i="13"/>
  <c r="D77" i="13" s="1"/>
  <c r="D14" i="13"/>
  <c r="C98" i="11"/>
  <c r="C103" i="11" s="1"/>
  <c r="C79" i="11"/>
  <c r="C78" i="11"/>
  <c r="C62" i="11"/>
  <c r="C61" i="11"/>
  <c r="C60" i="11"/>
  <c r="C57" i="11"/>
  <c r="C55" i="11"/>
  <c r="C56" i="11" s="1"/>
  <c r="C40" i="11"/>
  <c r="C80" i="11" s="1"/>
  <c r="C29" i="11"/>
  <c r="C28" i="11"/>
  <c r="C27" i="11"/>
  <c r="D21" i="11"/>
  <c r="D76" i="11" s="1"/>
  <c r="D14" i="11"/>
  <c r="C98" i="9"/>
  <c r="C103" i="9" s="1"/>
  <c r="C79" i="9"/>
  <c r="C78" i="9"/>
  <c r="C62" i="9"/>
  <c r="C60" i="9"/>
  <c r="C61" i="9" s="1"/>
  <c r="C57" i="9"/>
  <c r="C56" i="9"/>
  <c r="C55" i="9"/>
  <c r="C40" i="9"/>
  <c r="C80" i="9" s="1"/>
  <c r="C29" i="9"/>
  <c r="C28" i="9"/>
  <c r="C27" i="9"/>
  <c r="D21" i="9"/>
  <c r="D76" i="9" s="1"/>
  <c r="D14" i="9"/>
  <c r="D23" i="13" l="1"/>
  <c r="D22" i="11"/>
  <c r="D23" i="14"/>
  <c r="D24" i="14" s="1"/>
  <c r="C62" i="13"/>
  <c r="D22" i="13"/>
  <c r="D23" i="11"/>
  <c r="D23" i="9"/>
  <c r="D24" i="13" l="1"/>
  <c r="D61" i="11"/>
  <c r="D55" i="11"/>
  <c r="D62" i="11"/>
  <c r="D60" i="11"/>
  <c r="D56" i="11"/>
  <c r="D57" i="11"/>
  <c r="D62" i="14"/>
  <c r="D63" i="14"/>
  <c r="D61" i="14"/>
  <c r="D57" i="14"/>
  <c r="D56" i="14"/>
  <c r="D58" i="14"/>
  <c r="D30" i="14"/>
  <c r="D29" i="14"/>
  <c r="D108" i="14"/>
  <c r="D28" i="14"/>
  <c r="D31" i="14" s="1"/>
  <c r="D61" i="9"/>
  <c r="D62" i="9"/>
  <c r="D60" i="9"/>
  <c r="D63" i="9" s="1"/>
  <c r="D66" i="9" s="1"/>
  <c r="D56" i="9"/>
  <c r="D55" i="9"/>
  <c r="D57" i="9"/>
  <c r="D29" i="13"/>
  <c r="D28" i="13"/>
  <c r="D29" i="11"/>
  <c r="D28" i="11"/>
  <c r="D27" i="11"/>
  <c r="D30" i="11" s="1"/>
  <c r="D48" i="11" s="1"/>
  <c r="D107" i="11"/>
  <c r="D29" i="9"/>
  <c r="D28" i="9"/>
  <c r="D107" i="9"/>
  <c r="D27" i="9"/>
  <c r="D63" i="13" l="1"/>
  <c r="D58" i="13"/>
  <c r="D56" i="13"/>
  <c r="D62" i="13"/>
  <c r="D61" i="13"/>
  <c r="D64" i="13" s="1"/>
  <c r="D67" i="13" s="1"/>
  <c r="D57" i="13"/>
  <c r="D108" i="13"/>
  <c r="D30" i="13"/>
  <c r="D36" i="11"/>
  <c r="D63" i="11"/>
  <c r="D66" i="11" s="1"/>
  <c r="D49" i="14"/>
  <c r="D38" i="14"/>
  <c r="D34" i="14"/>
  <c r="D36" i="14"/>
  <c r="D40" i="14"/>
  <c r="D39" i="14"/>
  <c r="D37" i="14"/>
  <c r="D35" i="14"/>
  <c r="D33" i="14"/>
  <c r="D31" i="13"/>
  <c r="D35" i="13" s="1"/>
  <c r="D36" i="13"/>
  <c r="D34" i="13"/>
  <c r="D33" i="11"/>
  <c r="D37" i="11"/>
  <c r="D35" i="11"/>
  <c r="D39" i="11"/>
  <c r="D34" i="11"/>
  <c r="D38" i="11"/>
  <c r="D32" i="11"/>
  <c r="D30" i="9"/>
  <c r="D49" i="13" l="1"/>
  <c r="D37" i="13"/>
  <c r="D41" i="14"/>
  <c r="D50" i="14" s="1"/>
  <c r="D38" i="13"/>
  <c r="D40" i="13"/>
  <c r="D39" i="13"/>
  <c r="D33" i="13"/>
  <c r="D40" i="11"/>
  <c r="D49" i="11" s="1"/>
  <c r="D48" i="9"/>
  <c r="D38" i="9"/>
  <c r="D39" i="9"/>
  <c r="D37" i="9"/>
  <c r="D36" i="9"/>
  <c r="D35" i="9"/>
  <c r="D34" i="9"/>
  <c r="D32" i="9"/>
  <c r="D33" i="9"/>
  <c r="D40" i="9" l="1"/>
  <c r="D49" i="9" s="1"/>
  <c r="D64" i="14"/>
  <c r="D67" i="14" s="1"/>
  <c r="D41" i="13"/>
  <c r="D50" i="13" s="1"/>
  <c r="D59" i="13"/>
  <c r="D66" i="13" s="1"/>
  <c r="D68" i="13" s="1"/>
  <c r="D58" i="11"/>
  <c r="D65" i="11" s="1"/>
  <c r="D67" i="11" s="1"/>
  <c r="D110" i="13" l="1"/>
  <c r="D59" i="14"/>
  <c r="D66" i="14" s="1"/>
  <c r="D68" i="14" s="1"/>
  <c r="D109" i="11"/>
  <c r="D110" i="14" l="1"/>
  <c r="D58" i="9"/>
  <c r="D65" i="9" s="1"/>
  <c r="D67" i="9" s="1"/>
  <c r="D109" i="9" l="1"/>
  <c r="C98" i="8" l="1"/>
  <c r="C103" i="8" s="1"/>
  <c r="C79" i="8"/>
  <c r="C78" i="8"/>
  <c r="C62" i="8"/>
  <c r="C60" i="8"/>
  <c r="C61" i="8" s="1"/>
  <c r="C57" i="8"/>
  <c r="C55" i="8"/>
  <c r="C56" i="8" s="1"/>
  <c r="C40" i="8"/>
  <c r="C80" i="8" s="1"/>
  <c r="C29" i="8"/>
  <c r="C28" i="8"/>
  <c r="C27" i="8"/>
  <c r="D21" i="8"/>
  <c r="D14" i="8"/>
  <c r="D14" i="7"/>
  <c r="C79" i="7"/>
  <c r="C78" i="7"/>
  <c r="C62" i="7"/>
  <c r="C60" i="7"/>
  <c r="C61" i="7" s="1"/>
  <c r="C57" i="7"/>
  <c r="C55" i="7"/>
  <c r="B8" i="1"/>
  <c r="D43" i="8" s="1"/>
  <c r="B13" i="1"/>
  <c r="D21" i="7"/>
  <c r="D23" i="7" s="1"/>
  <c r="C40" i="7"/>
  <c r="C28" i="7"/>
  <c r="C29" i="7"/>
  <c r="C27" i="7"/>
  <c r="F62" i="6"/>
  <c r="F63" i="6"/>
  <c r="F64" i="6"/>
  <c r="F65" i="6"/>
  <c r="F66" i="6"/>
  <c r="F67" i="6"/>
  <c r="F68" i="6"/>
  <c r="F61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42" i="6"/>
  <c r="D56" i="7" l="1"/>
  <c r="D55" i="7"/>
  <c r="D57" i="7"/>
  <c r="D61" i="7"/>
  <c r="D60" i="7"/>
  <c r="D62" i="7"/>
  <c r="D42" i="8"/>
  <c r="D46" i="8" s="1"/>
  <c r="D50" i="8" s="1"/>
  <c r="D43" i="13"/>
  <c r="D43" i="14"/>
  <c r="D42" i="11"/>
  <c r="D42" i="9"/>
  <c r="D44" i="13"/>
  <c r="D44" i="14"/>
  <c r="D43" i="9"/>
  <c r="D43" i="11"/>
  <c r="D43" i="7"/>
  <c r="F69" i="6"/>
  <c r="F70" i="6" s="1"/>
  <c r="F71" i="6" s="1"/>
  <c r="D91" i="7" s="1"/>
  <c r="F56" i="6"/>
  <c r="D76" i="8"/>
  <c r="D23" i="8"/>
  <c r="D107" i="7"/>
  <c r="D76" i="7"/>
  <c r="D42" i="7"/>
  <c r="D29" i="7"/>
  <c r="D27" i="7"/>
  <c r="D28" i="7"/>
  <c r="D46" i="9" l="1"/>
  <c r="D50" i="9" s="1"/>
  <c r="D51" i="9" s="1"/>
  <c r="D74" i="9" s="1"/>
  <c r="D61" i="8"/>
  <c r="D60" i="8"/>
  <c r="D57" i="8"/>
  <c r="D62" i="8"/>
  <c r="D56" i="8"/>
  <c r="D55" i="8"/>
  <c r="D63" i="7"/>
  <c r="D66" i="7" s="1"/>
  <c r="D46" i="11"/>
  <c r="D50" i="11" s="1"/>
  <c r="D51" i="11" s="1"/>
  <c r="D108" i="11" s="1"/>
  <c r="D47" i="14"/>
  <c r="D51" i="14" s="1"/>
  <c r="D52" i="14" s="1"/>
  <c r="D72" i="14" s="1"/>
  <c r="D47" i="13"/>
  <c r="D51" i="13" s="1"/>
  <c r="D52" i="13" s="1"/>
  <c r="D109" i="13" s="1"/>
  <c r="D71" i="9"/>
  <c r="D108" i="9"/>
  <c r="D77" i="9"/>
  <c r="D75" i="9"/>
  <c r="D46" i="7"/>
  <c r="D50" i="7" s="1"/>
  <c r="D28" i="8"/>
  <c r="D107" i="8"/>
  <c r="D29" i="8"/>
  <c r="D27" i="8"/>
  <c r="D30" i="7"/>
  <c r="D75" i="13" l="1"/>
  <c r="D74" i="13"/>
  <c r="D78" i="13"/>
  <c r="D73" i="13"/>
  <c r="D71" i="11"/>
  <c r="D73" i="11"/>
  <c r="D78" i="11" s="1"/>
  <c r="D77" i="11"/>
  <c r="D74" i="11"/>
  <c r="D72" i="11"/>
  <c r="D75" i="11"/>
  <c r="D73" i="14"/>
  <c r="D109" i="14"/>
  <c r="D78" i="14"/>
  <c r="D74" i="14"/>
  <c r="D79" i="14" s="1"/>
  <c r="D75" i="14"/>
  <c r="D76" i="14"/>
  <c r="D73" i="9"/>
  <c r="D72" i="9"/>
  <c r="D30" i="8"/>
  <c r="D63" i="8"/>
  <c r="D66" i="8" s="1"/>
  <c r="D76" i="13"/>
  <c r="D72" i="13"/>
  <c r="D79" i="13"/>
  <c r="D80" i="13" s="1"/>
  <c r="D78" i="9"/>
  <c r="D35" i="8"/>
  <c r="D37" i="8"/>
  <c r="D36" i="8"/>
  <c r="D38" i="8"/>
  <c r="D32" i="8"/>
  <c r="D48" i="7"/>
  <c r="D32" i="7"/>
  <c r="D39" i="7"/>
  <c r="D35" i="7"/>
  <c r="D34" i="7"/>
  <c r="D33" i="7"/>
  <c r="D38" i="7"/>
  <c r="D36" i="7"/>
  <c r="D37" i="7"/>
  <c r="D81" i="13" l="1"/>
  <c r="D82" i="13" s="1"/>
  <c r="D84" i="13" s="1"/>
  <c r="D85" i="13" s="1"/>
  <c r="D111" i="13" s="1"/>
  <c r="D40" i="8"/>
  <c r="D49" i="8" s="1"/>
  <c r="D48" i="8"/>
  <c r="D33" i="8"/>
  <c r="D34" i="8"/>
  <c r="D39" i="8"/>
  <c r="D80" i="9"/>
  <c r="D79" i="9"/>
  <c r="D80" i="11"/>
  <c r="D79" i="11"/>
  <c r="D81" i="11"/>
  <c r="D83" i="11" s="1"/>
  <c r="D84" i="11" s="1"/>
  <c r="D110" i="11" s="1"/>
  <c r="D80" i="14"/>
  <c r="D81" i="14"/>
  <c r="D40" i="7"/>
  <c r="D49" i="7" s="1"/>
  <c r="D51" i="7" s="1"/>
  <c r="D82" i="14" l="1"/>
  <c r="D84" i="14" s="1"/>
  <c r="D85" i="14" s="1"/>
  <c r="D111" i="14" s="1"/>
  <c r="D51" i="8"/>
  <c r="D81" i="9"/>
  <c r="D83" i="9" s="1"/>
  <c r="D84" i="9" s="1"/>
  <c r="D110" i="9" s="1"/>
  <c r="D58" i="8"/>
  <c r="D108" i="7"/>
  <c r="D108" i="8" l="1"/>
  <c r="D65" i="8"/>
  <c r="D67" i="8" s="1"/>
  <c r="D71" i="8" s="1"/>
  <c r="D58" i="7"/>
  <c r="D65" i="7" l="1"/>
  <c r="D67" i="7" s="1"/>
  <c r="D75" i="8"/>
  <c r="D73" i="8"/>
  <c r="D74" i="8"/>
  <c r="D72" i="8"/>
  <c r="D77" i="8"/>
  <c r="D109" i="8"/>
  <c r="D74" i="7" l="1"/>
  <c r="D75" i="7"/>
  <c r="D72" i="7"/>
  <c r="D77" i="7"/>
  <c r="D71" i="7"/>
  <c r="D73" i="7"/>
  <c r="D109" i="7"/>
  <c r="D78" i="8"/>
  <c r="D79" i="8" s="1"/>
  <c r="D80" i="8"/>
  <c r="D78" i="7" l="1"/>
  <c r="D79" i="7" s="1"/>
  <c r="D81" i="8"/>
  <c r="D83" i="8" s="1"/>
  <c r="D84" i="8" s="1"/>
  <c r="D110" i="8" s="1"/>
  <c r="D80" i="7" l="1"/>
  <c r="D81" i="7" s="1"/>
  <c r="D83" i="7" s="1"/>
  <c r="D84" i="7" s="1"/>
  <c r="D110" i="7" l="1"/>
  <c r="G6" i="2" l="1"/>
  <c r="G7" i="2"/>
  <c r="G5" i="2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9" i="6"/>
  <c r="F30" i="6"/>
  <c r="F31" i="6"/>
  <c r="F32" i="6"/>
  <c r="F33" i="6"/>
  <c r="F34" i="6"/>
  <c r="F35" i="6"/>
  <c r="F36" i="6"/>
  <c r="F6" i="6"/>
  <c r="A62" i="6"/>
  <c r="A63" i="6" s="1"/>
  <c r="A64" i="6" s="1"/>
  <c r="A65" i="6" s="1"/>
  <c r="A66" i="6" s="1"/>
  <c r="A67" i="6" s="1"/>
  <c r="A68" i="6" s="1"/>
  <c r="A43" i="6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l="1"/>
  <c r="A29" i="6" s="1"/>
  <c r="A30" i="6" s="1"/>
  <c r="A31" i="6" s="1"/>
  <c r="A32" i="6" s="1"/>
  <c r="A33" i="6" s="1"/>
  <c r="A34" i="6" s="1"/>
  <c r="A35" i="6" s="1"/>
  <c r="F37" i="6"/>
  <c r="F38" i="6" s="1"/>
  <c r="F39" i="6" s="1"/>
  <c r="G8" i="2"/>
  <c r="H9" i="2" s="1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E6" i="5"/>
  <c r="H6" i="5" s="1"/>
  <c r="E7" i="5"/>
  <c r="H7" i="5" s="1"/>
  <c r="E8" i="5"/>
  <c r="H8" i="5" s="1"/>
  <c r="E9" i="5"/>
  <c r="H9" i="5" s="1"/>
  <c r="E10" i="5"/>
  <c r="H10" i="5" s="1"/>
  <c r="E11" i="5"/>
  <c r="H11" i="5" s="1"/>
  <c r="E12" i="5"/>
  <c r="H12" i="5" s="1"/>
  <c r="E13" i="5"/>
  <c r="H13" i="5" s="1"/>
  <c r="E14" i="5"/>
  <c r="H14" i="5" s="1"/>
  <c r="E15" i="5"/>
  <c r="H15" i="5" s="1"/>
  <c r="E16" i="5"/>
  <c r="H16" i="5" s="1"/>
  <c r="E17" i="5"/>
  <c r="H17" i="5" s="1"/>
  <c r="E18" i="5"/>
  <c r="H18" i="5" s="1"/>
  <c r="E19" i="5"/>
  <c r="H19" i="5" s="1"/>
  <c r="E20" i="5"/>
  <c r="H20" i="5" s="1"/>
  <c r="E21" i="5"/>
  <c r="H21" i="5" s="1"/>
  <c r="E22" i="5"/>
  <c r="H22" i="5" s="1"/>
  <c r="E23" i="5"/>
  <c r="H23" i="5" s="1"/>
  <c r="E24" i="5"/>
  <c r="H24" i="5" s="1"/>
  <c r="E25" i="5"/>
  <c r="H25" i="5" s="1"/>
  <c r="E26" i="5"/>
  <c r="H26" i="5" s="1"/>
  <c r="E27" i="5"/>
  <c r="H27" i="5" s="1"/>
  <c r="E5" i="5"/>
  <c r="H5" i="5" s="1"/>
  <c r="G28" i="5" l="1"/>
  <c r="H31" i="5" s="1"/>
  <c r="D90" i="8" s="1"/>
  <c r="D91" i="11"/>
  <c r="D91" i="9"/>
  <c r="F57" i="6"/>
  <c r="F58" i="6" s="1"/>
  <c r="D91" i="8" s="1"/>
  <c r="H28" i="5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5" i="4"/>
  <c r="D88" i="11" l="1"/>
  <c r="D88" i="8"/>
  <c r="D89" i="14"/>
  <c r="D89" i="13"/>
  <c r="D88" i="9"/>
  <c r="D88" i="7"/>
  <c r="G65" i="4"/>
  <c r="G67" i="4" s="1"/>
  <c r="C21" i="3"/>
  <c r="C22" i="3"/>
  <c r="E22" i="3" s="1"/>
  <c r="C20" i="3"/>
  <c r="E20" i="3" s="1"/>
  <c r="C19" i="3"/>
  <c r="E19" i="3" s="1"/>
  <c r="C18" i="3"/>
  <c r="E18" i="3" s="1"/>
  <c r="C17" i="3"/>
  <c r="E17" i="3" s="1"/>
  <c r="C7" i="3"/>
  <c r="E7" i="3" s="1"/>
  <c r="C8" i="3"/>
  <c r="E8" i="3" s="1"/>
  <c r="C9" i="3"/>
  <c r="E9" i="3" s="1"/>
  <c r="C10" i="3"/>
  <c r="E10" i="3" s="1"/>
  <c r="C6" i="3"/>
  <c r="E7" i="2"/>
  <c r="H7" i="2" s="1"/>
  <c r="E6" i="2"/>
  <c r="H6" i="2" s="1"/>
  <c r="E5" i="2"/>
  <c r="H5" i="2" s="1"/>
  <c r="E23" i="3" l="1"/>
  <c r="E24" i="3" s="1"/>
  <c r="D90" i="9"/>
  <c r="D90" i="11"/>
  <c r="E6" i="3"/>
  <c r="H8" i="2"/>
  <c r="D90" i="14" l="1"/>
  <c r="D94" i="14" s="1"/>
  <c r="D89" i="7"/>
  <c r="D93" i="7" s="1"/>
  <c r="D111" i="7" s="1"/>
  <c r="D112" i="7" s="1"/>
  <c r="E11" i="3"/>
  <c r="E12" i="3" s="1"/>
  <c r="D89" i="8" s="1"/>
  <c r="D93" i="8" s="1"/>
  <c r="D90" i="13"/>
  <c r="D94" i="13" s="1"/>
  <c r="D89" i="9"/>
  <c r="D93" i="9" s="1"/>
  <c r="D89" i="11"/>
  <c r="D93" i="11" s="1"/>
  <c r="D97" i="7" l="1"/>
  <c r="D111" i="11"/>
  <c r="D112" i="11" s="1"/>
  <c r="D111" i="9"/>
  <c r="D112" i="9" s="1"/>
  <c r="D112" i="13"/>
  <c r="D113" i="13" s="1"/>
  <c r="D111" i="8"/>
  <c r="D112" i="14"/>
  <c r="D113" i="14" s="1"/>
  <c r="D102" i="7" l="1"/>
  <c r="D101" i="7" s="1"/>
  <c r="D112" i="8"/>
  <c r="D97" i="8" s="1"/>
  <c r="D97" i="9"/>
  <c r="D98" i="13"/>
  <c r="D97" i="11"/>
  <c r="D98" i="14"/>
  <c r="D100" i="7" l="1"/>
  <c r="D99" i="7"/>
  <c r="D103" i="13"/>
  <c r="D100" i="13" s="1"/>
  <c r="D102" i="11"/>
  <c r="D100" i="11" s="1"/>
  <c r="D103" i="14"/>
  <c r="D101" i="14" s="1"/>
  <c r="D102" i="9"/>
  <c r="D100" i="9" s="1"/>
  <c r="D102" i="8"/>
  <c r="D99" i="8" s="1"/>
  <c r="D99" i="9" l="1"/>
  <c r="D100" i="14"/>
  <c r="D101" i="13"/>
  <c r="D102" i="13"/>
  <c r="D98" i="7"/>
  <c r="D103" i="7" s="1"/>
  <c r="D102" i="14"/>
  <c r="D99" i="11"/>
  <c r="D101" i="11"/>
  <c r="D101" i="9"/>
  <c r="D100" i="8"/>
  <c r="D101" i="8"/>
  <c r="D98" i="9" l="1"/>
  <c r="D103" i="9" s="1"/>
  <c r="D113" i="9" s="1"/>
  <c r="D114" i="9" s="1"/>
  <c r="C6" i="15" s="1"/>
  <c r="D99" i="13"/>
  <c r="D104" i="13" s="1"/>
  <c r="D114" i="13" s="1"/>
  <c r="D115" i="13" s="1"/>
  <c r="C9" i="15" s="1"/>
  <c r="D98" i="11"/>
  <c r="D103" i="11" s="1"/>
  <c r="D113" i="11" s="1"/>
  <c r="D114" i="11" s="1"/>
  <c r="C8" i="15" s="1"/>
  <c r="D98" i="8"/>
  <c r="D113" i="7"/>
  <c r="D114" i="7" s="1"/>
  <c r="D99" i="14"/>
  <c r="D103" i="8" l="1"/>
  <c r="D113" i="8" s="1"/>
  <c r="D114" i="8" s="1"/>
  <c r="C5" i="15" s="1"/>
  <c r="E5" i="15" s="1"/>
  <c r="G5" i="15" s="1"/>
  <c r="F12" i="17" s="1"/>
  <c r="G12" i="17" s="1"/>
  <c r="D22" i="16"/>
  <c r="E9" i="15"/>
  <c r="G9" i="15" s="1"/>
  <c r="E8" i="15"/>
  <c r="G8" i="15" s="1"/>
  <c r="D23" i="16"/>
  <c r="E24" i="16" s="1"/>
  <c r="D104" i="14"/>
  <c r="D114" i="14" s="1"/>
  <c r="D115" i="14" s="1"/>
  <c r="C7" i="15" s="1"/>
  <c r="D5" i="16"/>
  <c r="E6" i="15"/>
  <c r="G6" i="15" s="1"/>
  <c r="D68" i="16"/>
  <c r="D50" i="16"/>
  <c r="D32" i="16"/>
  <c r="D14" i="16"/>
  <c r="D41" i="16"/>
  <c r="D59" i="16"/>
  <c r="C4" i="15"/>
  <c r="E4" i="15" s="1"/>
  <c r="G4" i="15" s="1"/>
  <c r="F13" i="17" s="1"/>
  <c r="G13" i="17" s="1"/>
  <c r="H13" i="17" l="1"/>
  <c r="I13" i="17"/>
  <c r="H12" i="17"/>
  <c r="I12" i="17"/>
  <c r="D67" i="16"/>
  <c r="E69" i="16" s="1"/>
  <c r="D31" i="16"/>
  <c r="E33" i="16" s="1"/>
  <c r="D58" i="16"/>
  <c r="E60" i="16" s="1"/>
  <c r="D13" i="16"/>
  <c r="E15" i="16" s="1"/>
  <c r="D4" i="16"/>
  <c r="E6" i="16" s="1"/>
  <c r="D49" i="16"/>
  <c r="E51" i="16" s="1"/>
  <c r="E7" i="15"/>
  <c r="G7" i="15" s="1"/>
  <c r="G10" i="15" s="1"/>
  <c r="G12" i="15" s="1"/>
  <c r="D40" i="16"/>
  <c r="E42" i="16" s="1"/>
  <c r="E19" i="15"/>
  <c r="F19" i="15" s="1"/>
  <c r="E17" i="15" l="1"/>
  <c r="F17" i="15" s="1"/>
  <c r="G17" i="15" s="1"/>
  <c r="G19" i="15"/>
  <c r="F6" i="17"/>
  <c r="G6" i="17" s="1"/>
  <c r="G11" i="15"/>
  <c r="E18" i="15"/>
  <c r="F18" i="15" s="1"/>
  <c r="E20" i="15"/>
  <c r="F20" i="15" s="1"/>
  <c r="E23" i="15"/>
  <c r="F23" i="15" s="1"/>
  <c r="E21" i="15"/>
  <c r="F21" i="15" s="1"/>
  <c r="E22" i="15"/>
  <c r="F22" i="15" s="1"/>
  <c r="E24" i="15"/>
  <c r="F24" i="15" s="1"/>
  <c r="F4" i="17" l="1"/>
  <c r="G4" i="17" s="1"/>
  <c r="H4" i="17" s="1"/>
  <c r="I6" i="17"/>
  <c r="H6" i="17"/>
  <c r="G20" i="15"/>
  <c r="F7" i="17"/>
  <c r="G7" i="17" s="1"/>
  <c r="G21" i="15"/>
  <c r="F8" i="17"/>
  <c r="G8" i="17" s="1"/>
  <c r="G22" i="15"/>
  <c r="F9" i="17"/>
  <c r="G9" i="17" s="1"/>
  <c r="G18" i="15"/>
  <c r="F5" i="17"/>
  <c r="G5" i="17" s="1"/>
  <c r="G24" i="15"/>
  <c r="F11" i="17"/>
  <c r="G11" i="17" s="1"/>
  <c r="G23" i="15"/>
  <c r="F10" i="17"/>
  <c r="G10" i="17" s="1"/>
  <c r="I4" i="17" l="1"/>
  <c r="H9" i="17"/>
  <c r="I9" i="17"/>
  <c r="H10" i="17"/>
  <c r="I10" i="17"/>
  <c r="I5" i="17"/>
  <c r="H5" i="17"/>
  <c r="H8" i="17"/>
  <c r="I8" i="17"/>
  <c r="I7" i="17"/>
  <c r="H7" i="17"/>
  <c r="I11" i="17"/>
  <c r="H11" i="17"/>
  <c r="G25" i="15"/>
  <c r="G27" i="15" s="1"/>
  <c r="G14" i="17"/>
  <c r="I14" i="17" l="1"/>
  <c r="H14" i="17"/>
  <c r="G30" i="15"/>
  <c r="G32" i="15" s="1"/>
  <c r="G26" i="15"/>
  <c r="G31" i="15" l="1"/>
  <c r="G34" i="15" s="1"/>
</calcChain>
</file>

<file path=xl/comments1.xml><?xml version="1.0" encoding="utf-8"?>
<comments xmlns="http://schemas.openxmlformats.org/spreadsheetml/2006/main">
  <authors>
    <author>Thiago Capone de Moraes</author>
  </authors>
  <commentList>
    <comment ref="C34" authorId="0">
      <text>
        <r>
          <rPr>
            <b/>
            <sz val="12"/>
            <color indexed="81"/>
            <rFont val="Segoe UI Semibold"/>
            <family val="2"/>
          </rPr>
          <t>INFORMAR O PERCENTUAL APLICÁVEL ENTRE 0,5% E 6,0%, QUE DEVERÁ SER COMPROVADO COM CERTIDÃO DO ÓRGÃO PREVIDENCIÁRIO.</t>
        </r>
      </text>
    </comment>
    <comment ref="C99" authorId="0">
      <text>
        <r>
          <rPr>
            <b/>
            <sz val="12"/>
            <color indexed="81"/>
            <rFont val="Segoe UI Semibold"/>
            <family val="2"/>
          </rPr>
          <t>ATENÇÃO AO REGIME DE TRIBUTAÇÃO E A ALÍQUOTA APLICÁVEL!</t>
        </r>
      </text>
    </comment>
  </commentList>
</comments>
</file>

<file path=xl/comments2.xml><?xml version="1.0" encoding="utf-8"?>
<comments xmlns="http://schemas.openxmlformats.org/spreadsheetml/2006/main">
  <authors>
    <author>Thiago Capone de Moraes</author>
  </authors>
  <commentList>
    <comment ref="C34" authorId="0">
      <text>
        <r>
          <rPr>
            <b/>
            <sz val="12"/>
            <color indexed="81"/>
            <rFont val="Segoe UI Semibold"/>
            <family val="2"/>
          </rPr>
          <t>INFORMAR O PERCENTUAL APLICÁVEL ENTRE 0,5% E 6,0%, QUE DEVERÁ SER COMPROVADO COM CERTIDÃO DO ÓRGÃO PREVIDENCIÁRIO.</t>
        </r>
      </text>
    </comment>
    <comment ref="C99" authorId="0">
      <text>
        <r>
          <rPr>
            <b/>
            <sz val="12"/>
            <color indexed="81"/>
            <rFont val="Segoe UI Semibold"/>
            <family val="2"/>
          </rPr>
          <t>ATENÇÃO AO REGIME DE TRIBUTAÇÃO E A ALÍQUOTA APLICÁVEL!</t>
        </r>
      </text>
    </comment>
  </commentList>
</comments>
</file>

<file path=xl/comments3.xml><?xml version="1.0" encoding="utf-8"?>
<comments xmlns="http://schemas.openxmlformats.org/spreadsheetml/2006/main">
  <authors>
    <author>Thiago Capone de Moraes</author>
  </authors>
  <commentList>
    <comment ref="C34" authorId="0">
      <text>
        <r>
          <rPr>
            <b/>
            <sz val="12"/>
            <color indexed="81"/>
            <rFont val="Segoe UI Semibold"/>
            <family val="2"/>
          </rPr>
          <t>INFORMAR O PERCENTUAL APLICÁVEL ENTRE 0,5% E 6,0%, QUE DEVERÁ SER COMPROVADO COM CERTIDÃO DO ÓRGÃO PREVIDENCIÁRIO.</t>
        </r>
      </text>
    </comment>
    <comment ref="C99" authorId="0">
      <text>
        <r>
          <rPr>
            <b/>
            <sz val="12"/>
            <color indexed="81"/>
            <rFont val="Segoe UI Semibold"/>
            <family val="2"/>
          </rPr>
          <t>ATENÇÃO AO REGIME DE TRIBUTAÇÃO E A ALÍQUOTA APLICÁVEL!</t>
        </r>
      </text>
    </comment>
  </commentList>
</comments>
</file>

<file path=xl/comments4.xml><?xml version="1.0" encoding="utf-8"?>
<comments xmlns="http://schemas.openxmlformats.org/spreadsheetml/2006/main">
  <authors>
    <author>Thiago Capone de Moraes</author>
  </authors>
  <commentList>
    <comment ref="C35" authorId="0">
      <text>
        <r>
          <rPr>
            <b/>
            <sz val="12"/>
            <color indexed="81"/>
            <rFont val="Segoe UI Semibold"/>
            <family val="2"/>
          </rPr>
          <t>INFORMAR O PERCENTUAL APLICÁVEL ENTRE 0,5% E 6,0%, QUE DEVERÁ SER COMPROVADO COM CERTIDÃO DO ÓRGÃO PREVIDENCIÁRIO.</t>
        </r>
      </text>
    </comment>
    <comment ref="C100" authorId="0">
      <text>
        <r>
          <rPr>
            <b/>
            <sz val="12"/>
            <color indexed="81"/>
            <rFont val="Segoe UI Semibold"/>
            <family val="2"/>
          </rPr>
          <t>ATENÇÃO AO REGIME DE TRIBUTAÇÃO E A ALÍQUOTA APLICÁVEL!</t>
        </r>
      </text>
    </comment>
  </commentList>
</comments>
</file>

<file path=xl/comments5.xml><?xml version="1.0" encoding="utf-8"?>
<comments xmlns="http://schemas.openxmlformats.org/spreadsheetml/2006/main">
  <authors>
    <author>Thiago Capone de Moraes</author>
  </authors>
  <commentList>
    <comment ref="C34" authorId="0">
      <text>
        <r>
          <rPr>
            <b/>
            <sz val="12"/>
            <color indexed="81"/>
            <rFont val="Segoe UI Semibold"/>
            <family val="2"/>
          </rPr>
          <t>INFORMAR O PERCENTUAL APLICÁVEL ENTRE 0,5% E 6,0%, QUE DEVERÁ SER COMPROVADO COM CERTIDÃO DO ÓRGÃO PREVIDENCIÁRIO.</t>
        </r>
      </text>
    </comment>
    <comment ref="C99" authorId="0">
      <text>
        <r>
          <rPr>
            <b/>
            <sz val="12"/>
            <color indexed="81"/>
            <rFont val="Segoe UI Semibold"/>
            <family val="2"/>
          </rPr>
          <t>ATENÇÃO AO REGIME DE TRIBUTAÇÃO E A ALÍQUOTA APLICÁVEL!</t>
        </r>
      </text>
    </comment>
  </commentList>
</comments>
</file>

<file path=xl/comments6.xml><?xml version="1.0" encoding="utf-8"?>
<comments xmlns="http://schemas.openxmlformats.org/spreadsheetml/2006/main">
  <authors>
    <author>Thiago Capone de Moraes</author>
  </authors>
  <commentList>
    <comment ref="C35" authorId="0">
      <text>
        <r>
          <rPr>
            <b/>
            <sz val="12"/>
            <color indexed="81"/>
            <rFont val="Segoe UI Semibold"/>
            <family val="2"/>
          </rPr>
          <t>INFORMAR O PERCENTUAL APLICÁVEL ENTRE 0,5% E 6,0%, QUE DEVERÁ SER COMPROVADO COM CERTIDÃO DO ÓRGÃO PREVIDENCIÁRIO.</t>
        </r>
      </text>
    </comment>
    <comment ref="C100" authorId="0">
      <text>
        <r>
          <rPr>
            <b/>
            <sz val="12"/>
            <color indexed="81"/>
            <rFont val="Segoe UI Semibold"/>
            <family val="2"/>
          </rPr>
          <t>ATENÇÃO AO REGIME DE TRIBUTAÇÃO E A ALÍQUOTA APLICÁVEL!</t>
        </r>
      </text>
    </comment>
  </commentList>
</comments>
</file>

<file path=xl/sharedStrings.xml><?xml version="1.0" encoding="utf-8"?>
<sst xmlns="http://schemas.openxmlformats.org/spreadsheetml/2006/main" count="1880" uniqueCount="443">
  <si>
    <t xml:space="preserve">Referências: </t>
  </si>
  <si>
    <t>IN MPDG nº 05/2017</t>
  </si>
  <si>
    <t>Caderno Técnico -Limpeza e Conservação - RR/2017 - MPDG</t>
  </si>
  <si>
    <t>Tarifa de Transporte Urbano</t>
  </si>
  <si>
    <t>Deslocamentos p/ dia</t>
  </si>
  <si>
    <t>Total da despesa</t>
  </si>
  <si>
    <r>
      <t xml:space="preserve"> </t>
    </r>
    <r>
      <rPr>
        <b/>
        <sz val="14"/>
        <color rgb="FF000000"/>
        <rFont val="Segoe UI"/>
        <family val="2"/>
      </rPr>
      <t xml:space="preserve">MATERIAL DE PROTEÇÃO INDIVIDUAL </t>
    </r>
  </si>
  <si>
    <t>MATERIAL ANUAL</t>
  </si>
  <si>
    <t>ITEM</t>
  </si>
  <si>
    <t xml:space="preserve">UNID </t>
  </si>
  <si>
    <t>PAR</t>
  </si>
  <si>
    <t>DESCRIÇÃO</t>
  </si>
  <si>
    <t>LUVA DE SEGURANÇA, em malha tricotada em 04 fios de algodão, punho em elastano, anatômica, com a palma e a face palmar dos dedos com pigmentos em PVC. Tamanho Único. Pacote com um par. Marcas: Promat ou similar.</t>
  </si>
  <si>
    <t>LUVA PARA LIMPEZA em látex, forrada, antiderrapante, Tamanho Médio. Pacote com um par. Marcas: Mucambo, Sanro, Soft ou similar.</t>
  </si>
  <si>
    <t>LUVA PARA LIMPEZA em látex, forrada, antiderrapante, Tamanho Grande. Pacote com um par. Marcas: Mucambo, Sanro, Soft ou similar.</t>
  </si>
  <si>
    <t>QUANTIDADE</t>
  </si>
  <si>
    <t>MENSAL</t>
  </si>
  <si>
    <t>ANUAL</t>
  </si>
  <si>
    <t>VALOR</t>
  </si>
  <si>
    <t>UNITÁRIO</t>
  </si>
  <si>
    <t>TOTAL</t>
  </si>
  <si>
    <t>UNIFORMES</t>
  </si>
  <si>
    <r>
      <t xml:space="preserve">&lt;- Preencher somente as células de </t>
    </r>
    <r>
      <rPr>
        <b/>
        <sz val="10"/>
        <color rgb="FFFF0000"/>
        <rFont val="Segoe UI"/>
        <family val="2"/>
      </rPr>
      <t>VALOR UNITÁRIO</t>
    </r>
  </si>
  <si>
    <t>COPEIRAGEM</t>
  </si>
  <si>
    <t xml:space="preserve">Calça/Saia, confeccionada em brim leve, na cor azul marinho, com zíper e botão </t>
  </si>
  <si>
    <t>Jaleco especial para a função em malha de algodão,  manga curta, cor azul marinho com logomarca da empresa visível.</t>
  </si>
  <si>
    <t xml:space="preserve">Touca, confeccionada em filó, com detalhe em lese, na cor branca </t>
  </si>
  <si>
    <t xml:space="preserve">Sapato de segurança, com solado antiderrapante, na cor preta, sem salto, bico arredondado, solado de borracha antiderrapante e flexível </t>
  </si>
  <si>
    <t>Meia tipo social, de algodão, boa qualidade, na cor preta.</t>
  </si>
  <si>
    <t>SEMESTRAL</t>
  </si>
  <si>
    <t>VALOR MENSAL POR FUNCIONÁRIO</t>
  </si>
  <si>
    <t>VALOR ANUAL POR FUNCIONÁRIO</t>
  </si>
  <si>
    <t>FAXINEIRO/ENCARREGADO/ALMOXARIFE</t>
  </si>
  <si>
    <t>Agasalho fechado à frente.</t>
  </si>
  <si>
    <t>Boné pantone confeccionado em brim/sarja. Regulagem na parte posterior com fechamento em forma de colchete, cor laranja, em tamanho ajustável.</t>
  </si>
  <si>
    <t>Camisa em malha de manga curta, cor azul com logomarca da empresa visível.</t>
  </si>
  <si>
    <t>Calça comprida com elástico e cordão, em tecido grosso na cor laranja</t>
  </si>
  <si>
    <t>Par de Botina em couro, de solado liso e antiderrapante, com palmilha.</t>
  </si>
  <si>
    <t xml:space="preserve">Meias confeccionadas em algodão, tipo soquete, cor preta. </t>
  </si>
  <si>
    <t>Unid.</t>
  </si>
  <si>
    <t>Litro</t>
  </si>
  <si>
    <t>YPE</t>
  </si>
  <si>
    <t>LIMPA FACIL</t>
  </si>
  <si>
    <t>TUPI</t>
  </si>
  <si>
    <t>BOM AR</t>
  </si>
  <si>
    <t>BETTANIN ZIG ZAG</t>
  </si>
  <si>
    <t>AUDAX</t>
  </si>
  <si>
    <t>VEJA</t>
  </si>
  <si>
    <t>Q.ODOR</t>
  </si>
  <si>
    <t>LIMPOL</t>
  </si>
  <si>
    <t>BETTANIN</t>
  </si>
  <si>
    <t>VONDER</t>
  </si>
  <si>
    <t>ROSSI</t>
  </si>
  <si>
    <t>SCOT</t>
  </si>
  <si>
    <t>BRILUX</t>
  </si>
  <si>
    <t>SANTA MARGARIDA</t>
  </si>
  <si>
    <t>RAID</t>
  </si>
  <si>
    <t>Pacote</t>
  </si>
  <si>
    <t>ASSOLAN</t>
  </si>
  <si>
    <t>ALUMIL</t>
  </si>
  <si>
    <t>SANOL</t>
  </si>
  <si>
    <t>SANILAR</t>
  </si>
  <si>
    <t>WORKER</t>
  </si>
  <si>
    <t>BETTANIN PRO</t>
  </si>
  <si>
    <t>PERSONAL</t>
  </si>
  <si>
    <t>UNIQUE</t>
  </si>
  <si>
    <t>Bobina</t>
  </si>
  <si>
    <t>ELITE</t>
  </si>
  <si>
    <t>CONDOR</t>
  </si>
  <si>
    <t>REGENTE</t>
  </si>
  <si>
    <t>WAP</t>
  </si>
  <si>
    <t>ITAQUITI</t>
  </si>
  <si>
    <t>SANY</t>
  </si>
  <si>
    <t>REAL</t>
  </si>
  <si>
    <t>QUANTIDADE DE COLABORADORES</t>
  </si>
  <si>
    <t>VALOR POR COLABORADOR</t>
  </si>
  <si>
    <t>CONSUMO MENSAL</t>
  </si>
  <si>
    <t>UNID.</t>
  </si>
  <si>
    <t>ÁGUA SANITARIA 5 L</t>
  </si>
  <si>
    <t>ÁCIDO MURIÁTICO 1 L</t>
  </si>
  <si>
    <t>ÁLCOOL 70 1 L</t>
  </si>
  <si>
    <t>ÁLCOOL 92,8 1 L</t>
  </si>
  <si>
    <t>BALDE P/ MOP COM ESPREMEDOR</t>
  </si>
  <si>
    <t>BALDE MÉDIO 14 L</t>
  </si>
  <si>
    <t>CERA LIQUIDA INCOLOR 5 L</t>
  </si>
  <si>
    <t>DESENGRAXANTE 5 L</t>
  </si>
  <si>
    <t>DESINFETANTE 5 L</t>
  </si>
  <si>
    <t>DETERGENTE LIQUIDO LAVA LOUÇA 500 ML</t>
  </si>
  <si>
    <t>DETERGENTE LIQUIDO CONCENTRADO 5 L</t>
  </si>
  <si>
    <t>DISCO BRANCO P/ LAVADORA INDUSTRIAL (ENCERADEIRA) 350 MM</t>
  </si>
  <si>
    <t>DISCO VERDE P/ LAVADORA INDUSTRIAL (ENCERADEIRA) 350 MM</t>
  </si>
  <si>
    <t>DISCO PRETO P/ LAVADORA INDUSTRIAL (ENCERADEIRA) 350 MM</t>
  </si>
  <si>
    <t>ESPÁTULA DE AÇO</t>
  </si>
  <si>
    <t>ESCOVA DE NYLON</t>
  </si>
  <si>
    <t>FITA ZEBRADA ROLO 200 M X 70 MM</t>
  </si>
  <si>
    <t>ESPONJA DUPLA FACE</t>
  </si>
  <si>
    <t>FLANELA LARANJA 28 X 48 CM</t>
  </si>
  <si>
    <t>HIPOCLORITO DE SÓDIO 5% 5 L</t>
  </si>
  <si>
    <t>INSETICIDA SPRAY 420 ML</t>
  </si>
  <si>
    <t>LÃ DE AÇO 8 UNIDADES</t>
  </si>
  <si>
    <t>LIMPA ALUMÍNIO 5 L</t>
  </si>
  <si>
    <t>LIMPA VIDRO 500 ML</t>
  </si>
  <si>
    <t>LUSTRA MÓVEIS 200 ML</t>
  </si>
  <si>
    <t>LIMPADOR MULTIUSO 500 ML</t>
  </si>
  <si>
    <t>REFIL P/ MOPITA</t>
  </si>
  <si>
    <t>OLÉO P/ MÓVEIS 100 ML</t>
  </si>
  <si>
    <t>PÁ DE LIXO</t>
  </si>
  <si>
    <t>PANO DE CHÃO 60 X 83 CM</t>
  </si>
  <si>
    <t>PROTETOR DE ASSENTO SANITÁRIO 86 FOLHAS</t>
  </si>
  <si>
    <t>PULVERIZADOR P/ USOS DIVERSOS 500 ML</t>
  </si>
  <si>
    <t>REMOVEDOR 5 L</t>
  </si>
  <si>
    <t>RODO 40 CM</t>
  </si>
  <si>
    <t>RODO 60 CM</t>
  </si>
  <si>
    <t>SABÃO EM BARRA KG</t>
  </si>
  <si>
    <t>SACO DESCARTÁVEL P/ ASPIRADOR 3 UNDADES</t>
  </si>
  <si>
    <t>SACO P/ LIXO 60 L 100 UNIDADES</t>
  </si>
  <si>
    <t>SACO P/ LIXO PLÁSTICO VERDE 60 L 100 UNDADES</t>
  </si>
  <si>
    <t>SACO P/ LIXO PLÁSTICO AMARELO 60 L 100 UNDADES</t>
  </si>
  <si>
    <t>SACO P/ LIXO PLÁSTICO CINZA 60 L 100 UNDADES</t>
  </si>
  <si>
    <t>SACO P/ LIXO 100 L 100 UNIDADES</t>
  </si>
  <si>
    <t>SACO P/ LIXO 240 L 100 UNIDADES</t>
  </si>
  <si>
    <t>SAPONÁCEO 300 G</t>
  </si>
  <si>
    <t>VASSOURA DE PIAÇAVA 40 CM</t>
  </si>
  <si>
    <t>RASTELO</t>
  </si>
  <si>
    <t>VASSOURINHA P/ VASOS SANITÁRIO</t>
  </si>
  <si>
    <t>VASSOURA DE PELO 40 CM</t>
  </si>
  <si>
    <t>VASSOURA DE PELO 60 CM</t>
  </si>
  <si>
    <t>SELADOR P/ PISOS 5 L</t>
  </si>
  <si>
    <t>Kg</t>
  </si>
  <si>
    <t>Fardo</t>
  </si>
  <si>
    <t>SABONETE LIQUIDO 5 L</t>
  </si>
  <si>
    <t>QUANT.</t>
  </si>
  <si>
    <t>MARCA REF. (OU SIMILAR COM QUALIDADE SUPERIOR)</t>
  </si>
  <si>
    <t>VALOR TOTAL</t>
  </si>
  <si>
    <t>AROMATIZANTE SPRAY 360 ML</t>
  </si>
  <si>
    <t>MATERIAL DE LIMPEZA 2025/2026</t>
  </si>
  <si>
    <t>ÁGUA MINERAL 20 L</t>
  </si>
  <si>
    <t>COADOR DE PANO PARA CAFETEIRA INDUSTRIAL 6 L</t>
  </si>
  <si>
    <t>COPO DESCARTÁVEL 200 ML 100 UNIDADES</t>
  </si>
  <si>
    <t>DETERGENTE P/ LAVAR LOUÇA 500 ML</t>
  </si>
  <si>
    <t>GUARDANAPO 22 X 22,5 CM 50 UNIDADES</t>
  </si>
  <si>
    <t>GUARDANAPO 32 X 32,5 CM 50 UNIDADES</t>
  </si>
  <si>
    <t>GARFO DESCARTÁVEL 50 UNIDADES</t>
  </si>
  <si>
    <t>MEXEDOR DE CAFÉ DESCARTÁVEL 500 UNIDADES</t>
  </si>
  <si>
    <t>AÇÚCAR REFINADO 1 KG</t>
  </si>
  <si>
    <t>ADOÇANTE DIETÉTICO LÍQUIDO STÉVIA 75 ML</t>
  </si>
  <si>
    <t>ÁGUA MINERAL SEM GÁS 500 ML</t>
  </si>
  <si>
    <t>ÁGUA MINERAL COM GÁS 500 ML</t>
  </si>
  <si>
    <t>CAFÉ TORRADO E MOÍDO DE PRIMEIRA QUALIDADE 500 G</t>
  </si>
  <si>
    <t>CHÁ SABORES 10 G 10 UNIDADES</t>
  </si>
  <si>
    <t>LEITE INTEGRAL 1 L</t>
  </si>
  <si>
    <t>BISCOITO CREAM CRACKER 10 G</t>
  </si>
  <si>
    <t>BISCOITO AMANTEIGADO LEITE 11,8 G</t>
  </si>
  <si>
    <t>AMENDOIM JAPONÊS 27 G</t>
  </si>
  <si>
    <t>MINIBOLO CHOCOLATE 40 G</t>
  </si>
  <si>
    <t>MANTEIGA 10 G</t>
  </si>
  <si>
    <t>ACHOCOLATADO EM PÓ 500 G</t>
  </si>
  <si>
    <t>REQUEIJÃO CREMOSO 18 G</t>
  </si>
  <si>
    <t>Bombona</t>
  </si>
  <si>
    <t>Embalagem</t>
  </si>
  <si>
    <t>Frasco</t>
  </si>
  <si>
    <t>Caixa</t>
  </si>
  <si>
    <t>Rolo</t>
  </si>
  <si>
    <t>TOTAL MENSAL</t>
  </si>
  <si>
    <t>VALOR MENSAL POR COLABORADOR</t>
  </si>
  <si>
    <t>ESTIMATIVA DE CONSUMO</t>
  </si>
  <si>
    <t>MATERIAL BÁSICO DE COPEIRAGEM</t>
  </si>
  <si>
    <t>LIMPEZA</t>
  </si>
  <si>
    <t>PONTO ELETRÔNICO COM BIOMETRIA</t>
  </si>
  <si>
    <t>ASPIRADOR DE PÓ E ÁGUA, POTÊNCIA 1250 W, CAPACIDADE DE RESERVATÓRIO 10 L (LÍQUIDO) E 6 L (PÓ), TENSÃO 220 V</t>
  </si>
  <si>
    <t>DISPENSER P/ SABONETE LÍQUIDO COM REFIL 800 ML</t>
  </si>
  <si>
    <t>DISPENSER P/ PAPEL TOALHA</t>
  </si>
  <si>
    <t>DISPENSER P/ PROTETOR SANITÁRIO</t>
  </si>
  <si>
    <t>ESCADA DOBRÁVEL ALUMÍNIO 6 DEGRAUS</t>
  </si>
  <si>
    <t>ESCADA EXTENSÍVEL FIBRA 19 DEGRAUS</t>
  </si>
  <si>
    <t>ESCADA EXTENSÍVEL FIBRA 12 DEGRAUS</t>
  </si>
  <si>
    <t>EXTENSÃO ELÉTRICA 30 M</t>
  </si>
  <si>
    <t>EXTENSÃO ELÉTRICA 50 M</t>
  </si>
  <si>
    <t>EXTENSÃO ELÉTRICA 100 M</t>
  </si>
  <si>
    <t>LAVADORA DE ALTA PRESSÃO 330 L/H 1500 PSI 1400 W 127 V</t>
  </si>
  <si>
    <t>PÁ METÁLICA P/ LIXO 15 CM</t>
  </si>
  <si>
    <t>PLACA DE SINALIZAÇÃO “BANHEIRO FECHADO”</t>
  </si>
  <si>
    <t>PLACA DE SINALIZAÇÃO “PISO MOLHADO”</t>
  </si>
  <si>
    <t>PLACA DE SINALIZAÇÃO “EM MANUTENÇÃO”</t>
  </si>
  <si>
    <t>CARRINHO FUNCIONAL EM POLIPROPILENO</t>
  </si>
  <si>
    <t>COMBINADO RODO LAVADOR 35 CM RASPADOR 10C M</t>
  </si>
  <si>
    <t>MANGUEIRA DE BORRACHA 3/4" 30 M</t>
  </si>
  <si>
    <t>LIXEIRA COM PEDAL COR BRANCA 120 L</t>
  </si>
  <si>
    <t>LIXEIRA COM PEDAL COR LARANJA 120 L</t>
  </si>
  <si>
    <t>LIXEIRA COM PEDAL COR BRANCA 240 L</t>
  </si>
  <si>
    <t>LIXEIRA COM PEDAL COR LARANJA 240 L</t>
  </si>
  <si>
    <t>CONTAINER P/ LIXO 1000 L</t>
  </si>
  <si>
    <t xml:space="preserve">MOP PLANO 40 CM   </t>
  </si>
  <si>
    <t>KIT COM 04 LIXEIRAS P/ COLETA SELETIVA 60 L</t>
  </si>
  <si>
    <t>ASPIRADOR DE PÓ DO TIPO MOCHILA 2 L</t>
  </si>
  <si>
    <t>BANDEJA INOX 43 X 33 CM</t>
  </si>
  <si>
    <t>SUPORTE P/ COPO 200 ML</t>
  </si>
  <si>
    <t>DISPENSER P/ DETERGENTE LÍQUIDO 800 ML</t>
  </si>
  <si>
    <t>ESCORREDOR DE LOUÇA INOX</t>
  </si>
  <si>
    <t>GARRAFA TÉRMICA COR PRETA 1,8 L</t>
  </si>
  <si>
    <t>GARRAFA TÉRMICA COR VERMELHA 1,8 L</t>
  </si>
  <si>
    <t>GARRAFA TÉRMICA INOX 1,8 L</t>
  </si>
  <si>
    <t>COPO DE VIDRO 300 ML</t>
  </si>
  <si>
    <t>XÍCARA COM PIRES 95 ML</t>
  </si>
  <si>
    <t>XÍCARA COM PIRES 200 ML</t>
  </si>
  <si>
    <t>CAFETEIRA INDUSTRIAL 6 L 110 V 2 TORNEIRAS</t>
  </si>
  <si>
    <t>COLHER DE CHÁ INOX</t>
  </si>
  <si>
    <t>ALMOXARIFADO</t>
  </si>
  <si>
    <t>IMPRESSORA MULTIFUNCIONAL</t>
  </si>
  <si>
    <t>COLETOR DE DADOS P/ INVENTÁRIO</t>
  </si>
  <si>
    <t>ETIQUETADORA ELETRÔNICA</t>
  </si>
  <si>
    <t>PALETEIRA MANUAL</t>
  </si>
  <si>
    <t>CARRINHO PLATAFORMA (DE CARGA)</t>
  </si>
  <si>
    <t>ARMÁRIO DE AÇO PA 90 COM CHAVE 02 PORTAS</t>
  </si>
  <si>
    <t>PALLET PLÁSTICO PRETO 4,5 X 50 X 50 CM</t>
  </si>
  <si>
    <t>LEITOR DE CÓDIGO DE BARRAS</t>
  </si>
  <si>
    <t>EQUIPAMENTOS E FERRAMENTAS</t>
  </si>
  <si>
    <t>DEPRECIAÇÃO</t>
  </si>
  <si>
    <t>SOMA TOTAL</t>
  </si>
  <si>
    <t>CUSTO POR FUNCIONÁRIO (MANUTENÇÃO + DEPRECIAÇÃO / 10)</t>
  </si>
  <si>
    <t>CUSTO POR FUNCIONÁRIO (MANUTENÇÃO + DEPRECIAÇÃO / 5)</t>
  </si>
  <si>
    <t>PLANILHA DE CUSTOS E FORMAÇÃO DE PREÇOS</t>
  </si>
  <si>
    <t>Discriminação dos Serviços (dados referentes à contratação)</t>
  </si>
  <si>
    <t>A</t>
  </si>
  <si>
    <t>Data de Apresentação da Proposta</t>
  </si>
  <si>
    <t>B</t>
  </si>
  <si>
    <t>C</t>
  </si>
  <si>
    <t>Ano, Acordo, Convenção ou Sentença Normativa em Dissídio Coletivo</t>
  </si>
  <si>
    <t>D</t>
  </si>
  <si>
    <t>Nº de Meses de Execução Contratual</t>
  </si>
  <si>
    <t>Identificação do Serviço</t>
  </si>
  <si>
    <t>Tipo de Serviço</t>
  </si>
  <si>
    <t>Unidade de Medida</t>
  </si>
  <si>
    <t>Controle de Estoque</t>
  </si>
  <si>
    <t>Postos</t>
  </si>
  <si>
    <t>Regime Laboral / horário</t>
  </si>
  <si>
    <t>Área a ser coberta</t>
  </si>
  <si>
    <t>MÃO DE OBRA VINCULADA À EXECUÇÃO CONTRATUAL</t>
  </si>
  <si>
    <t>Dados complementares para composição dos custos referentes à mão de obra</t>
  </si>
  <si>
    <t>Salário Normativo de Categoria Profissional (R$)</t>
  </si>
  <si>
    <t>Categoria Profissional</t>
  </si>
  <si>
    <t>Almoxarife</t>
  </si>
  <si>
    <t>Data Base da Categoria</t>
  </si>
  <si>
    <t>MÓDULO 1: REMUNERAÇÃO</t>
  </si>
  <si>
    <t>Composição da Remuneração</t>
  </si>
  <si>
    <t>Valor (R$)</t>
  </si>
  <si>
    <t>Salário Base</t>
  </si>
  <si>
    <t>Periculosidade ou Insalubridade</t>
  </si>
  <si>
    <t>Total da Remuneração</t>
  </si>
  <si>
    <t>MÓDULO 2: ENCARGOS E BENEFÍCIOS (Anuais, Mensais e Diários)</t>
  </si>
  <si>
    <t>2.1</t>
  </si>
  <si>
    <t>13º Salário, Férias e Adicional de Férias</t>
  </si>
  <si>
    <t>%</t>
  </si>
  <si>
    <t>13º Salário</t>
  </si>
  <si>
    <t>Adicional de Férias</t>
  </si>
  <si>
    <t>Férias</t>
  </si>
  <si>
    <t>Total de 13º Salário, Férias e Adicional de Férias</t>
  </si>
  <si>
    <t>2.2</t>
  </si>
  <si>
    <t>Encargos Previdenciários e FGTS</t>
  </si>
  <si>
    <t>INSS</t>
  </si>
  <si>
    <t>Salário Educação</t>
  </si>
  <si>
    <t>RAT - ajustado (RAT x SAT)</t>
  </si>
  <si>
    <t>SESI ou SESC</t>
  </si>
  <si>
    <t>E</t>
  </si>
  <si>
    <t>SENAI ou SENAC</t>
  </si>
  <si>
    <t>F</t>
  </si>
  <si>
    <t>SEBRAE</t>
  </si>
  <si>
    <t>G</t>
  </si>
  <si>
    <t>INCRA</t>
  </si>
  <si>
    <t>H</t>
  </si>
  <si>
    <t>FGTS</t>
  </si>
  <si>
    <t>Total de Encargos Previdenciários e FGTS</t>
  </si>
  <si>
    <t>2.3</t>
  </si>
  <si>
    <t>Benefícios Mensais e Diários</t>
  </si>
  <si>
    <t>Vale Transporte</t>
  </si>
  <si>
    <t>Vale Refeição</t>
  </si>
  <si>
    <t>Seguro de Vida</t>
  </si>
  <si>
    <t>Benefício Social Familiar (Convenção)</t>
  </si>
  <si>
    <t>Total de Benefícios Mensais e Diários</t>
  </si>
  <si>
    <t>Total dos Encargos Sociais e Trabalhistas</t>
  </si>
  <si>
    <t>MÓDULO 3: PROVISÃO PARA RESCISÃO</t>
  </si>
  <si>
    <t>3.1</t>
  </si>
  <si>
    <t>Aviso Prévio Indenizado</t>
  </si>
  <si>
    <t>Valor do Aviso Prévio Indenizado</t>
  </si>
  <si>
    <t>Incidência do FGTS sobre o Aviso Prévio Indenizado</t>
  </si>
  <si>
    <t>Valor da Multa do FGTS do Aviso Prévio Indenizado</t>
  </si>
  <si>
    <t>Total de Custo do Aviso Prévio Indenizado</t>
  </si>
  <si>
    <t>3.2</t>
  </si>
  <si>
    <t>Aviso Prévio Trabalhado</t>
  </si>
  <si>
    <t>Valor do Aviso Prévio Trabalhado</t>
  </si>
  <si>
    <t>Valor da Multa do FGTS e Contribuições s/ Aviso Prévio Trabalhado</t>
  </si>
  <si>
    <t>Valor da Multa do FGTS do Aviso Prévio Trabalhado</t>
  </si>
  <si>
    <t>Total de Custo do Aviso Prévio Trabalhado</t>
  </si>
  <si>
    <t>QUADRO RESUMO – MÓDULO 3 – PROVISÃO PARA RESCISÃO</t>
  </si>
  <si>
    <t>MÓDULO 4: CUSTOS DE REPOSIÇÃO DO PROFISSIONAL AUSENTE</t>
  </si>
  <si>
    <t>4.1</t>
  </si>
  <si>
    <t>Ausências Legais</t>
  </si>
  <si>
    <t>Substituto na cobertura de Férias</t>
  </si>
  <si>
    <t>Substituto na cobertura de Licença-Maternidade</t>
  </si>
  <si>
    <t>Substituto na cobertura de Licença-Paternidade</t>
  </si>
  <si>
    <t>Substituto na cobertura de Ausências Legais</t>
  </si>
  <si>
    <t>Substituto na cobertura de ausências por acidente de trabalho</t>
  </si>
  <si>
    <t>Substituto de cobertura por doença</t>
  </si>
  <si>
    <t>Outros (Especificar e Justificar)</t>
  </si>
  <si>
    <t>Subtotal</t>
  </si>
  <si>
    <t>Proporcional de Férias, 1/3 Férias e 13ª Salário sobre custo de reposição (exceto licença maternidade)</t>
  </si>
  <si>
    <t>I</t>
  </si>
  <si>
    <t>Incidência do Submódulo 2.2 sobre Ausências Legais</t>
  </si>
  <si>
    <t>Total de Custo de Ausências Legais</t>
  </si>
  <si>
    <t>QUADRO RESUMO – MÓDULO 4 – CUSTO DE REPOSIÇÃO DO PROFISSIONAL AUSENTE</t>
  </si>
  <si>
    <t>MÓDULO 5: INSUMOS DE MÃO DE OBRA</t>
  </si>
  <si>
    <t>Insumos de Mão de Obra</t>
  </si>
  <si>
    <t>Uniformes</t>
  </si>
  <si>
    <t>Materiais e Insumos</t>
  </si>
  <si>
    <t>Ferramentas e outros equipamentos (Depreciação)</t>
  </si>
  <si>
    <t>MÓDULO 6: CUSTOS INDIRETOS, TRIBUTOS E LUCRO (CITL)</t>
  </si>
  <si>
    <t>Custos Indiretos, Tributos e Lucro - CITL</t>
  </si>
  <si>
    <t>Custos Indiretos</t>
  </si>
  <si>
    <t>Tributos</t>
  </si>
  <si>
    <t>B.1. Tributos Federais PIS</t>
  </si>
  <si>
    <t>B.2. Tributos Federais COFINS</t>
  </si>
  <si>
    <t>B.3. Tributos Municipais ISS</t>
  </si>
  <si>
    <t>Lucro</t>
  </si>
  <si>
    <t>Total dos Custos Indiretos, Tributos e Lucro</t>
  </si>
  <si>
    <t>QUADRO RESUMO DOS CUSTOS POR EMPREGADO</t>
  </si>
  <si>
    <t>Mão de Obra Vinculada à Execução Contratual (valor por empregado)</t>
  </si>
  <si>
    <t>Subtotal ( A + B + C + D + E )</t>
  </si>
  <si>
    <t>Valor por Empregado</t>
  </si>
  <si>
    <t>Quantidade a contratar</t>
  </si>
  <si>
    <t>Vale-alimentação</t>
  </si>
  <si>
    <t>Vale transporte</t>
  </si>
  <si>
    <t>Valor/dia - ACT</t>
  </si>
  <si>
    <t>Valor de desconto/dia - ACT</t>
  </si>
  <si>
    <t>% Estimado</t>
  </si>
  <si>
    <t>Equipamentos de Proteção Individual (EPI)</t>
  </si>
  <si>
    <t>Total dos insumos de mão de obra</t>
  </si>
  <si>
    <t>Março - anualmente</t>
  </si>
  <si>
    <r>
      <t xml:space="preserve">&lt;- Preencher somente as células de destacadas em </t>
    </r>
    <r>
      <rPr>
        <b/>
        <sz val="12"/>
        <color rgb="FFFF0000"/>
        <rFont val="Segoe UI"/>
        <family val="2"/>
      </rPr>
      <t>VERMELHO</t>
    </r>
    <r>
      <rPr>
        <sz val="12"/>
        <color rgb="FFFF0000"/>
        <rFont val="Segoe UI"/>
        <family val="2"/>
      </rPr>
      <t>, conforme o caso.</t>
    </r>
  </si>
  <si>
    <t>44h semanais</t>
  </si>
  <si>
    <t>Município / UF</t>
  </si>
  <si>
    <t>Niterói / RJ</t>
  </si>
  <si>
    <t>COPEIRO</t>
  </si>
  <si>
    <t>Copeiragem</t>
  </si>
  <si>
    <t>Limpeza e conservação</t>
  </si>
  <si>
    <t>Auxiliar de limpeza</t>
  </si>
  <si>
    <t>Encarregado</t>
  </si>
  <si>
    <t>Gratificação</t>
  </si>
  <si>
    <t>QUADRO-RESUMO – VALOR MENSAL DOS SERVIÇOS POR POSTO</t>
  </si>
  <si>
    <t>II</t>
  </si>
  <si>
    <t>III</t>
  </si>
  <si>
    <t>IV</t>
  </si>
  <si>
    <t>Encarregado (IS 40%)</t>
  </si>
  <si>
    <t>V</t>
  </si>
  <si>
    <t>VI</t>
  </si>
  <si>
    <t>VII</t>
  </si>
  <si>
    <t>VIII</t>
  </si>
  <si>
    <t>IX</t>
  </si>
  <si>
    <t>ÁREA INTERNA - PISO FRIO</t>
  </si>
  <si>
    <t>m²</t>
  </si>
  <si>
    <t>ÁREA INTERNA - ALMOXARIFADO/GALPÕES</t>
  </si>
  <si>
    <t>ÁREA INTERNA - USO DIFERENCIADO - BANHEIROS</t>
  </si>
  <si>
    <t xml:space="preserve">ÁREA EXTERNA - PISO PAVIMENTADO ADJACENTES/CONTÍGUOS </t>
  </si>
  <si>
    <t>ESQUADRIAS - FACE EXTERNA SEM EXPOSIÇÃO À RISCO</t>
  </si>
  <si>
    <t xml:space="preserve">ESQUADRIAS - FACE INTERNA </t>
  </si>
  <si>
    <t>ÁREA EXTERNA - PÁTIO E ÁREA VERDE</t>
  </si>
  <si>
    <t>ÁREA EXTERNA - VARRIÇÃO DE PASSEIOS E ARRUAMENTOS</t>
  </si>
  <si>
    <t>X</t>
  </si>
  <si>
    <t>XI</t>
  </si>
  <si>
    <t>Descrição</t>
  </si>
  <si>
    <t>Valor Mensal do Serviço (Posto + Área a ser limpa)</t>
  </si>
  <si>
    <t>Valor Global da Proposta (A x 12 meses) (ANUAL)</t>
  </si>
  <si>
    <t>Valor Global da Proposta (A x 30 meses) (CONTRATO INTEGRAL)</t>
  </si>
  <si>
    <t>QUADRO RESUMO – MÓDULO 2 – ENCARGOS E BENEFÍCIOS</t>
  </si>
  <si>
    <t>Copeiro</t>
  </si>
  <si>
    <t>TIPO DE SERVIÇO</t>
  </si>
  <si>
    <t>QTD. DE EMPREGADOS POR POSTO</t>
  </si>
  <si>
    <t xml:space="preserve">VALOR PROPOSTO POR POSTO </t>
  </si>
  <si>
    <t>VALOR TOTAL DO SERVIÇO</t>
  </si>
  <si>
    <t>(E)</t>
  </si>
  <si>
    <t>(C)</t>
  </si>
  <si>
    <t>(B)</t>
  </si>
  <si>
    <t>(A)</t>
  </si>
  <si>
    <t>VALOR PROPOSTO POR EMPREGADO</t>
  </si>
  <si>
    <t>QTD. DE POSTOS</t>
  </si>
  <si>
    <t>Valor global para 12 meses (VII x 12)</t>
  </si>
  <si>
    <t>Valor global para 30 meses (VII x 30)</t>
  </si>
  <si>
    <t>Auxiliar de limpeza (IS 40%)</t>
  </si>
  <si>
    <t>TIPO DE ÁREA</t>
  </si>
  <si>
    <t>UNIDADE</t>
  </si>
  <si>
    <t>PREÇO UNITÁRIO</t>
  </si>
  <si>
    <t>VALOR MENSAL</t>
  </si>
  <si>
    <t>Valor mensal (I + II + III + IV + V + VI + VII + VIII)</t>
  </si>
  <si>
    <t>Valor global para 12 meses (IX x 12)</t>
  </si>
  <si>
    <t>Valor global para 30 meses (IX x 30)</t>
  </si>
  <si>
    <t>QUADRO-RESUMO – VALOR MENSAL DOS SERVIÇOS POR M²</t>
  </si>
  <si>
    <t>PRODUTIVIDADE</t>
  </si>
  <si>
    <t>MÃO-DE-OBRA</t>
  </si>
  <si>
    <t>ENCARREGADO</t>
  </si>
  <si>
    <t>AUXILIAR DE LIMPEZA</t>
  </si>
  <si>
    <t>ÁREA EXTERNA - PASSEIOS E ARRUAMENTOS</t>
  </si>
  <si>
    <t>SUB-TOTAL (R$/m²)</t>
  </si>
  <si>
    <t>ÁREA MENSURADA (m²)</t>
  </si>
  <si>
    <t>VALOR POR m²</t>
  </si>
  <si>
    <t>PRODUTIVIDADE:</t>
  </si>
  <si>
    <t>VALOR MENSAL POR EMPREGADO</t>
  </si>
  <si>
    <t>FREQUENCIA</t>
  </si>
  <si>
    <t>(A x B x C)</t>
  </si>
  <si>
    <t>FREQUENCIA (Quinzenal)</t>
  </si>
  <si>
    <t>ESQUADRIAS - FACE INTERNA</t>
  </si>
  <si>
    <t>VALOR 12 MESES</t>
  </si>
  <si>
    <t>12 MESES</t>
  </si>
  <si>
    <t>GARANTIA CONTRATUAL (B x 5%)</t>
  </si>
  <si>
    <t>Valor Mensal dos Serviços (I + II)</t>
  </si>
  <si>
    <t>(D) =  (C) x 12</t>
  </si>
  <si>
    <t>(D) = (B) x (C)</t>
  </si>
  <si>
    <t>(F) = (D) x (E)</t>
  </si>
  <si>
    <t>VALOR MENSAL POR COLABORADOR (209)</t>
  </si>
  <si>
    <t>LIXEIRA COM PEDAL COR LARANJA 60 L</t>
  </si>
  <si>
    <t>Valores definidos por m².</t>
  </si>
  <si>
    <t>SACO P/ LIXO 15 L 100 UNIDADES</t>
  </si>
  <si>
    <t>VASSOURÃO GARI</t>
  </si>
  <si>
    <t>LIXEIRA COM PEDAL COR LARANJA 15 L</t>
  </si>
  <si>
    <t>ENCERADEIRA INDUSTRIAL COMPLETA 350 MM</t>
  </si>
  <si>
    <t>MANGUEIRA DE BORRACHA 3/4" 50 M</t>
  </si>
  <si>
    <t>SUPORTE P/ GARRAFÃO DE ÁGUA</t>
  </si>
  <si>
    <t>PEDRA SANITÁRIA 40 G</t>
  </si>
  <si>
    <t>VASCULHO DE TETO</t>
  </si>
  <si>
    <t>NAFTALINA KG</t>
  </si>
  <si>
    <t>PAPEL HIGIENICO FOLHA DUPLA 1º LINHA 64 ROLOS</t>
  </si>
  <si>
    <t>PAPEL INTERFOLHADO 1000 FOLHAS</t>
  </si>
  <si>
    <t>PANO MULTIUSO TIPO PERFEX PICOTADO 30X50 CM ROLO 300 M</t>
  </si>
  <si>
    <t>BISCOITO COOKIE TRADICIONAL 30 G</t>
  </si>
  <si>
    <t>ESPECIFICAÇÃO</t>
  </si>
  <si>
    <t>30 MESES</t>
  </si>
  <si>
    <t>ÁREA INTERNA – PISO FRIO</t>
  </si>
  <si>
    <t>ÁREA EXTERNA - PISO PAVIMENTADO ADJACENTES/CONTÍGUOS</t>
  </si>
  <si>
    <t>VARRIÇÃO DE PASSEIOS E ARRUAMENTOS</t>
  </si>
  <si>
    <t>Unidade</t>
  </si>
  <si>
    <t>CONTROLE DE ESTOQUE/ALMOXARIFE</t>
  </si>
  <si>
    <t>CUSTO POR FUNCIONÁRIO (MANUTENÇÃO + DEPRECIAÇÃO / 189)</t>
  </si>
  <si>
    <t>VALOR DA PROPOSTA</t>
  </si>
  <si>
    <t>&lt;- Preencher/Alterar conforme o caso.</t>
  </si>
  <si>
    <r>
      <t xml:space="preserve">OBS: PREENCHER AS GUIAS DESTACADAS EM </t>
    </r>
    <r>
      <rPr>
        <b/>
        <sz val="11"/>
        <color rgb="FFFF0000"/>
        <rFont val="Calibri"/>
        <family val="2"/>
        <scheme val="minor"/>
      </rPr>
      <t>VERMELHO</t>
    </r>
    <r>
      <rPr>
        <b/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</si>
</sst>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&quot;R$&quot;\ #,##0.00"/>
    <numFmt numFmtId="165" formatCode="00"/>
    <numFmt numFmtId="166" formatCode="0.000%"/>
    <numFmt numFmtId="167" formatCode="0.0000000"/>
  </numFmts>
  <fonts count="49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rgb="FF000000"/>
      <name val="Segoe UI"/>
      <family val="2"/>
    </font>
    <font>
      <sz val="10"/>
      <color rgb="FFFF0000"/>
      <name val="Segoe UI"/>
      <family val="2"/>
    </font>
    <font>
      <b/>
      <sz val="14"/>
      <color rgb="FF1F497D"/>
      <name val="Segoe UI"/>
      <family val="2"/>
    </font>
    <font>
      <sz val="14"/>
      <name val="Segoe UI"/>
      <family val="2"/>
    </font>
    <font>
      <b/>
      <sz val="12"/>
      <color rgb="FF0F243E"/>
      <name val="Segoe UI"/>
      <family val="2"/>
    </font>
    <font>
      <sz val="12"/>
      <name val="Segoe UI"/>
      <family val="2"/>
    </font>
    <font>
      <b/>
      <sz val="14"/>
      <color rgb="FF000000"/>
      <name val="Segoe UI"/>
      <family val="2"/>
    </font>
    <font>
      <b/>
      <sz val="14"/>
      <name val="Segoe UI"/>
      <family val="2"/>
    </font>
    <font>
      <b/>
      <sz val="10"/>
      <color rgb="FFFF0000"/>
      <name val="Segoe UI"/>
      <family val="2"/>
    </font>
    <font>
      <b/>
      <sz val="12"/>
      <name val="Segoe UI"/>
      <family val="2"/>
    </font>
    <font>
      <b/>
      <sz val="10"/>
      <color theme="1"/>
      <name val="Segoe UI"/>
      <family val="2"/>
    </font>
    <font>
      <b/>
      <sz val="9"/>
      <color theme="1"/>
      <name val="Segoe UI"/>
      <family val="2"/>
    </font>
    <font>
      <b/>
      <sz val="8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b/>
      <sz val="9"/>
      <color rgb="FF000000"/>
      <name val="Segoe UI"/>
      <family val="2"/>
    </font>
    <font>
      <b/>
      <sz val="9"/>
      <color rgb="FF0F243E"/>
      <name val="Segoe UI"/>
      <family val="2"/>
    </font>
    <font>
      <b/>
      <sz val="9"/>
      <name val="Segoe UI"/>
      <family val="2"/>
    </font>
    <font>
      <sz val="10"/>
      <name val="Segoe UI"/>
      <family val="2"/>
    </font>
    <font>
      <sz val="11"/>
      <color theme="1"/>
      <name val="Segoe UI"/>
      <family val="2"/>
    </font>
    <font>
      <b/>
      <sz val="12"/>
      <color rgb="FFFF0000"/>
      <name val="Segoe UI"/>
      <family val="2"/>
    </font>
    <font>
      <b/>
      <sz val="12"/>
      <color indexed="81"/>
      <name val="Segoe UI Semibold"/>
      <family val="2"/>
    </font>
    <font>
      <sz val="12"/>
      <color rgb="FFFF0000"/>
      <name val="Segoe UI"/>
      <family val="2"/>
    </font>
    <font>
      <b/>
      <sz val="12"/>
      <color rgb="FF000000"/>
      <name val="Segoe UI"/>
      <family val="2"/>
    </font>
    <font>
      <sz val="12"/>
      <color rgb="FF000000"/>
      <name val="Segoe U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rgb="FFFF0000"/>
      <name val="Segoe UI"/>
      <family val="2"/>
    </font>
    <font>
      <b/>
      <sz val="11"/>
      <color rgb="FFFF0000"/>
      <name val="Segoe UI"/>
      <family val="2"/>
    </font>
    <font>
      <b/>
      <sz val="11"/>
      <color theme="4" tint="-0.499984740745262"/>
      <name val="Segoe UI"/>
      <family val="2"/>
    </font>
    <font>
      <sz val="11"/>
      <color theme="4" tint="-0.499984740745262"/>
      <name val="Segoe UI"/>
      <family val="2"/>
    </font>
    <font>
      <b/>
      <sz val="11"/>
      <color theme="5" tint="-0.499984740745262"/>
      <name val="Segoe UI"/>
      <family val="2"/>
    </font>
    <font>
      <sz val="11"/>
      <color theme="5" tint="-0.499984740745262"/>
      <name val="Segoe UI"/>
      <family val="2"/>
    </font>
    <font>
      <b/>
      <sz val="11"/>
      <color theme="6" tint="-0.499984740745262"/>
      <name val="Segoe UI"/>
      <family val="2"/>
    </font>
    <font>
      <sz val="11"/>
      <color theme="6" tint="-0.499984740745262"/>
      <name val="Segoe UI"/>
      <family val="2"/>
    </font>
    <font>
      <b/>
      <sz val="11"/>
      <color theme="7" tint="-0.499984740745262"/>
      <name val="Segoe UI"/>
      <family val="2"/>
    </font>
    <font>
      <sz val="11"/>
      <color theme="7" tint="-0.499984740745262"/>
      <name val="Segoe UI"/>
      <family val="2"/>
    </font>
    <font>
      <b/>
      <sz val="11"/>
      <color theme="8" tint="-0.499984740745262"/>
      <name val="Segoe UI"/>
      <family val="2"/>
    </font>
    <font>
      <sz val="11"/>
      <color theme="8" tint="-0.499984740745262"/>
      <name val="Segoe UI"/>
      <family val="2"/>
    </font>
    <font>
      <b/>
      <sz val="11"/>
      <color theme="9" tint="-0.499984740745262"/>
      <name val="Segoe UI"/>
      <family val="2"/>
    </font>
    <font>
      <sz val="11"/>
      <color theme="9" tint="-0.499984740745262"/>
      <name val="Segoe UI"/>
      <family val="2"/>
    </font>
    <font>
      <b/>
      <sz val="9"/>
      <color theme="1"/>
      <name val="Calibri"/>
      <family val="2"/>
      <scheme val="minor"/>
    </font>
    <font>
      <sz val="10"/>
      <color rgb="FF000000"/>
      <name val="Segoe UI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93CDDD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401">
    <xf numFmtId="0" fontId="0" fillId="0" borderId="0" xfId="0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3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3" fontId="20" fillId="0" borderId="3" xfId="0" applyNumberFormat="1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3" fontId="20" fillId="0" borderId="5" xfId="0" applyNumberFormat="1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2" fillId="0" borderId="8" xfId="0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44" fontId="1" fillId="0" borderId="4" xfId="0" applyNumberFormat="1" applyFont="1" applyBorder="1" applyAlignment="1">
      <alignment horizontal="right" vertical="center"/>
    </xf>
    <xf numFmtId="44" fontId="1" fillId="0" borderId="1" xfId="0" applyNumberFormat="1" applyFont="1" applyBorder="1" applyAlignment="1">
      <alignment horizontal="right" vertical="center" wrapText="1"/>
    </xf>
    <xf numFmtId="44" fontId="20" fillId="0" borderId="4" xfId="0" applyNumberFormat="1" applyFont="1" applyBorder="1" applyAlignment="1">
      <alignment vertical="center" wrapText="1"/>
    </xf>
    <xf numFmtId="44" fontId="20" fillId="0" borderId="7" xfId="0" applyNumberFormat="1" applyFont="1" applyBorder="1" applyAlignment="1">
      <alignment vertical="center" wrapText="1"/>
    </xf>
    <xf numFmtId="0" fontId="21" fillId="0" borderId="0" xfId="0" applyFont="1"/>
    <xf numFmtId="44" fontId="21" fillId="0" borderId="0" xfId="0" applyNumberFormat="1" applyFont="1"/>
    <xf numFmtId="3" fontId="21" fillId="0" borderId="0" xfId="0" applyNumberFormat="1" applyFont="1"/>
    <xf numFmtId="3" fontId="1" fillId="0" borderId="3" xfId="0" applyNumberFormat="1" applyFont="1" applyBorder="1" applyAlignment="1">
      <alignment vertical="center"/>
    </xf>
    <xf numFmtId="44" fontId="1" fillId="0" borderId="4" xfId="0" applyNumberFormat="1" applyFont="1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/>
    <xf numFmtId="165" fontId="1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right" vertical="center"/>
    </xf>
    <xf numFmtId="44" fontId="2" fillId="2" borderId="1" xfId="0" applyNumberFormat="1" applyFont="1" applyFill="1" applyBorder="1" applyAlignment="1">
      <alignment vertical="center"/>
    </xf>
    <xf numFmtId="44" fontId="2" fillId="2" borderId="4" xfId="0" applyNumberFormat="1" applyFont="1" applyFill="1" applyBorder="1" applyAlignment="1">
      <alignment vertical="center"/>
    </xf>
    <xf numFmtId="44" fontId="12" fillId="2" borderId="4" xfId="0" applyNumberFormat="1" applyFont="1" applyFill="1" applyBorder="1" applyAlignment="1">
      <alignment vertical="center" wrapText="1"/>
    </xf>
    <xf numFmtId="1" fontId="12" fillId="2" borderId="4" xfId="0" applyNumberFormat="1" applyFont="1" applyFill="1" applyBorder="1" applyAlignment="1">
      <alignment vertical="center" wrapText="1"/>
    </xf>
    <xf numFmtId="44" fontId="12" fillId="2" borderId="1" xfId="0" applyNumberFormat="1" applyFont="1" applyFill="1" applyBorder="1" applyAlignment="1">
      <alignment vertical="center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6" fillId="0" borderId="3" xfId="0" applyFont="1" applyBorder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25" fillId="2" borderId="1" xfId="0" applyFont="1" applyFill="1" applyBorder="1" applyAlignment="1">
      <alignment horizontal="justify" vertical="center"/>
    </xf>
    <xf numFmtId="44" fontId="25" fillId="2" borderId="9" xfId="0" applyNumberFormat="1" applyFont="1" applyFill="1" applyBorder="1" applyAlignment="1">
      <alignment horizontal="right" vertical="center"/>
    </xf>
    <xf numFmtId="44" fontId="25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5" fillId="3" borderId="1" xfId="0" applyFont="1" applyFill="1" applyBorder="1" applyAlignment="1">
      <alignment horizontal="justify" vertical="center"/>
    </xf>
    <xf numFmtId="44" fontId="25" fillId="3" borderId="9" xfId="0" applyNumberFormat="1" applyFont="1" applyFill="1" applyBorder="1" applyAlignment="1">
      <alignment horizontal="right" vertical="center"/>
    </xf>
    <xf numFmtId="44" fontId="27" fillId="0" borderId="0" xfId="0" applyNumberFormat="1" applyFont="1" applyAlignment="1">
      <alignment horizontal="justify" vertical="center"/>
    </xf>
    <xf numFmtId="0" fontId="17" fillId="2" borderId="34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justify" vertical="center" wrapText="1"/>
    </xf>
    <xf numFmtId="44" fontId="1" fillId="0" borderId="34" xfId="0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justify" vertical="center" wrapText="1"/>
    </xf>
    <xf numFmtId="44" fontId="1" fillId="0" borderId="38" xfId="0" applyNumberFormat="1" applyFont="1" applyBorder="1" applyAlignment="1">
      <alignment horizontal="right" vertical="center" wrapText="1"/>
    </xf>
    <xf numFmtId="44" fontId="2" fillId="2" borderId="34" xfId="0" applyNumberFormat="1" applyFont="1" applyFill="1" applyBorder="1" applyAlignment="1">
      <alignment vertical="center"/>
    </xf>
    <xf numFmtId="44" fontId="2" fillId="2" borderId="40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 vertical="center" wrapText="1"/>
    </xf>
    <xf numFmtId="0" fontId="33" fillId="2" borderId="30" xfId="0" applyFont="1" applyFill="1" applyBorder="1" applyAlignment="1">
      <alignment horizontal="center" vertical="center" wrapText="1"/>
    </xf>
    <xf numFmtId="44" fontId="34" fillId="0" borderId="26" xfId="0" applyNumberFormat="1" applyFont="1" applyBorder="1" applyAlignment="1">
      <alignment horizontal="left" vertical="center" wrapText="1"/>
    </xf>
    <xf numFmtId="44" fontId="33" fillId="2" borderId="32" xfId="0" applyNumberFormat="1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4" fontId="33" fillId="0" borderId="0" xfId="0" applyNumberFormat="1" applyFont="1" applyAlignment="1">
      <alignment horizontal="left" vertical="center" wrapText="1"/>
    </xf>
    <xf numFmtId="0" fontId="35" fillId="2" borderId="1" xfId="0" applyFont="1" applyFill="1" applyBorder="1" applyAlignment="1">
      <alignment vertical="center" wrapText="1"/>
    </xf>
    <xf numFmtId="0" fontId="35" fillId="2" borderId="21" xfId="0" applyFont="1" applyFill="1" applyBorder="1" applyAlignment="1">
      <alignment horizontal="center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6" fillId="0" borderId="9" xfId="0" applyFont="1" applyBorder="1" applyAlignment="1">
      <alignment vertical="center" wrapText="1"/>
    </xf>
    <xf numFmtId="10" fontId="36" fillId="0" borderId="9" xfId="0" applyNumberFormat="1" applyFont="1" applyBorder="1" applyAlignment="1">
      <alignment horizontal="right" vertical="center" wrapText="1"/>
    </xf>
    <xf numFmtId="44" fontId="36" fillId="0" borderId="33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10" fontId="36" fillId="0" borderId="1" xfId="0" applyNumberFormat="1" applyFont="1" applyBorder="1" applyAlignment="1">
      <alignment horizontal="right" vertical="center" wrapText="1"/>
    </xf>
    <xf numFmtId="44" fontId="36" fillId="0" borderId="21" xfId="0" applyNumberFormat="1" applyFont="1" applyBorder="1" applyAlignment="1">
      <alignment horizontal="left" vertical="center" wrapText="1"/>
    </xf>
    <xf numFmtId="44" fontId="35" fillId="2" borderId="21" xfId="0" applyNumberFormat="1" applyFont="1" applyFill="1" applyBorder="1" applyAlignment="1">
      <alignment horizontal="left" vertical="center" wrapText="1"/>
    </xf>
    <xf numFmtId="10" fontId="36" fillId="0" borderId="2" xfId="0" applyNumberFormat="1" applyFont="1" applyBorder="1" applyAlignment="1">
      <alignment horizontal="right" vertical="center" wrapText="1"/>
    </xf>
    <xf numFmtId="0" fontId="36" fillId="0" borderId="3" xfId="0" applyFont="1" applyBorder="1" applyAlignment="1">
      <alignment vertical="center" wrapText="1"/>
    </xf>
    <xf numFmtId="44" fontId="36" fillId="0" borderId="34" xfId="0" applyNumberFormat="1" applyFont="1" applyBorder="1" applyAlignment="1">
      <alignment horizontal="left" vertical="center" wrapText="1"/>
    </xf>
    <xf numFmtId="10" fontId="35" fillId="2" borderId="1" xfId="0" applyNumberFormat="1" applyFont="1" applyFill="1" applyBorder="1" applyAlignment="1">
      <alignment horizontal="right" vertical="center" wrapText="1"/>
    </xf>
    <xf numFmtId="44" fontId="36" fillId="0" borderId="19" xfId="0" applyNumberFormat="1" applyFont="1" applyBorder="1" applyAlignment="1">
      <alignment horizontal="left" vertical="center" wrapText="1"/>
    </xf>
    <xf numFmtId="44" fontId="35" fillId="2" borderId="33" xfId="0" applyNumberFormat="1" applyFont="1" applyFill="1" applyBorder="1" applyAlignment="1">
      <alignment horizontal="left" vertical="center" wrapText="1"/>
    </xf>
    <xf numFmtId="44" fontId="35" fillId="2" borderId="35" xfId="0" applyNumberFormat="1" applyFont="1" applyFill="1" applyBorder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44" fontId="35" fillId="0" borderId="0" xfId="0" applyNumberFormat="1" applyFont="1" applyAlignment="1">
      <alignment horizontal="left" vertical="center" wrapText="1"/>
    </xf>
    <xf numFmtId="0" fontId="37" fillId="2" borderId="18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21" xfId="0" applyFont="1" applyFill="1" applyBorder="1" applyAlignment="1">
      <alignment horizontal="center" vertical="center" wrapText="1"/>
    </xf>
    <xf numFmtId="166" fontId="37" fillId="2" borderId="30" xfId="0" applyNumberFormat="1" applyFont="1" applyFill="1" applyBorder="1" applyAlignment="1">
      <alignment horizontal="center" vertical="center" wrapText="1"/>
    </xf>
    <xf numFmtId="166" fontId="38" fillId="0" borderId="9" xfId="0" applyNumberFormat="1" applyFont="1" applyBorder="1" applyAlignment="1">
      <alignment vertical="center" wrapText="1"/>
    </xf>
    <xf numFmtId="10" fontId="38" fillId="0" borderId="9" xfId="0" applyNumberFormat="1" applyFont="1" applyBorder="1" applyAlignment="1">
      <alignment vertical="center" wrapText="1"/>
    </xf>
    <xf numFmtId="44" fontId="38" fillId="0" borderId="33" xfId="0" applyNumberFormat="1" applyFont="1" applyBorder="1" applyAlignment="1">
      <alignment horizontal="left" vertical="center" wrapText="1"/>
    </xf>
    <xf numFmtId="166" fontId="37" fillId="2" borderId="18" xfId="0" applyNumberFormat="1" applyFont="1" applyFill="1" applyBorder="1" applyAlignment="1">
      <alignment horizontal="center" vertical="center" wrapText="1"/>
    </xf>
    <xf numFmtId="166" fontId="38" fillId="0" borderId="1" xfId="0" applyNumberFormat="1" applyFont="1" applyBorder="1" applyAlignment="1">
      <alignment vertical="center" wrapText="1"/>
    </xf>
    <xf numFmtId="10" fontId="38" fillId="0" borderId="1" xfId="0" applyNumberFormat="1" applyFont="1" applyBorder="1" applyAlignment="1">
      <alignment vertical="center" wrapText="1"/>
    </xf>
    <xf numFmtId="44" fontId="38" fillId="0" borderId="21" xfId="0" applyNumberFormat="1" applyFont="1" applyBorder="1" applyAlignment="1">
      <alignment horizontal="left" vertical="center" wrapText="1"/>
    </xf>
    <xf numFmtId="44" fontId="37" fillId="2" borderId="21" xfId="0" applyNumberFormat="1" applyFont="1" applyFill="1" applyBorder="1" applyAlignment="1">
      <alignment horizontal="left"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justify" vertical="center" wrapText="1"/>
    </xf>
    <xf numFmtId="44" fontId="37" fillId="2" borderId="35" xfId="0" applyNumberFormat="1" applyFont="1" applyFill="1" applyBorder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39" fillId="2" borderId="18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21" xfId="0" applyFont="1" applyFill="1" applyBorder="1" applyAlignment="1">
      <alignment horizontal="center" vertical="center" wrapText="1"/>
    </xf>
    <xf numFmtId="0" fontId="39" fillId="2" borderId="30" xfId="0" applyFont="1" applyFill="1" applyBorder="1" applyAlignment="1">
      <alignment horizontal="center" vertical="center" wrapText="1"/>
    </xf>
    <xf numFmtId="0" fontId="40" fillId="0" borderId="9" xfId="0" applyFont="1" applyBorder="1" applyAlignment="1">
      <alignment vertical="center" wrapText="1"/>
    </xf>
    <xf numFmtId="10" fontId="40" fillId="0" borderId="9" xfId="0" applyNumberFormat="1" applyFont="1" applyBorder="1" applyAlignment="1">
      <alignment vertical="center" wrapText="1"/>
    </xf>
    <xf numFmtId="44" fontId="40" fillId="0" borderId="33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10" fontId="40" fillId="0" borderId="1" xfId="0" applyNumberFormat="1" applyFont="1" applyBorder="1" applyAlignment="1">
      <alignment vertical="center" wrapText="1"/>
    </xf>
    <xf numFmtId="44" fontId="40" fillId="0" borderId="2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justify" vertical="center" wrapText="1"/>
    </xf>
    <xf numFmtId="10" fontId="40" fillId="0" borderId="2" xfId="0" applyNumberFormat="1" applyFont="1" applyBorder="1" applyAlignment="1">
      <alignment vertical="center" wrapText="1"/>
    </xf>
    <xf numFmtId="0" fontId="40" fillId="0" borderId="3" xfId="0" applyFont="1" applyBorder="1" applyAlignment="1">
      <alignment vertical="center" wrapText="1"/>
    </xf>
    <xf numFmtId="44" fontId="40" fillId="0" borderId="34" xfId="0" applyNumberFormat="1" applyFont="1" applyBorder="1" applyAlignment="1">
      <alignment horizontal="left" vertical="center" wrapText="1"/>
    </xf>
    <xf numFmtId="10" fontId="39" fillId="2" borderId="9" xfId="0" applyNumberFormat="1" applyFont="1" applyFill="1" applyBorder="1" applyAlignment="1">
      <alignment vertical="center" wrapText="1"/>
    </xf>
    <xf numFmtId="44" fontId="39" fillId="2" borderId="21" xfId="0" applyNumberFormat="1" applyFont="1" applyFill="1" applyBorder="1" applyAlignment="1">
      <alignment vertical="center" wrapText="1"/>
    </xf>
    <xf numFmtId="44" fontId="39" fillId="2" borderId="21" xfId="0" applyNumberFormat="1" applyFont="1" applyFill="1" applyBorder="1" applyAlignment="1">
      <alignment horizontal="left" vertical="center" wrapText="1"/>
    </xf>
    <xf numFmtId="44" fontId="40" fillId="0" borderId="21" xfId="0" applyNumberFormat="1" applyFont="1" applyBorder="1" applyAlignment="1">
      <alignment vertical="center" wrapText="1"/>
    </xf>
    <xf numFmtId="44" fontId="39" fillId="2" borderId="35" xfId="0" applyNumberFormat="1" applyFont="1" applyFill="1" applyBorder="1" applyAlignment="1">
      <alignment horizontal="left" vertical="center" wrapText="1"/>
    </xf>
    <xf numFmtId="0" fontId="41" fillId="2" borderId="18" xfId="0" applyFont="1" applyFill="1" applyBorder="1" applyAlignment="1">
      <alignment horizontal="center" vertical="center" wrapText="1"/>
    </xf>
    <xf numFmtId="0" fontId="41" fillId="2" borderId="21" xfId="0" applyFont="1" applyFill="1" applyBorder="1" applyAlignment="1">
      <alignment horizontal="center" vertical="center" wrapText="1"/>
    </xf>
    <xf numFmtId="0" fontId="41" fillId="2" borderId="30" xfId="0" applyFont="1" applyFill="1" applyBorder="1" applyAlignment="1">
      <alignment horizontal="center" vertical="center" wrapText="1"/>
    </xf>
    <xf numFmtId="44" fontId="42" fillId="0" borderId="33" xfId="0" applyNumberFormat="1" applyFont="1" applyBorder="1" applyAlignment="1">
      <alignment vertical="center" wrapText="1"/>
    </xf>
    <xf numFmtId="44" fontId="42" fillId="0" borderId="21" xfId="0" applyNumberFormat="1" applyFont="1" applyBorder="1" applyAlignment="1">
      <alignment vertical="center" wrapText="1"/>
    </xf>
    <xf numFmtId="44" fontId="41" fillId="2" borderId="35" xfId="0" applyNumberFormat="1" applyFont="1" applyFill="1" applyBorder="1" applyAlignment="1">
      <alignment vertical="center" wrapText="1"/>
    </xf>
    <xf numFmtId="0" fontId="43" fillId="2" borderId="18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3" fillId="2" borderId="21" xfId="0" applyFont="1" applyFill="1" applyBorder="1" applyAlignment="1">
      <alignment horizontal="center" vertical="center" wrapText="1"/>
    </xf>
    <xf numFmtId="0" fontId="43" fillId="2" borderId="30" xfId="0" applyFont="1" applyFill="1" applyBorder="1" applyAlignment="1">
      <alignment horizontal="center" vertical="center" wrapText="1"/>
    </xf>
    <xf numFmtId="0" fontId="44" fillId="0" borderId="9" xfId="0" applyFont="1" applyBorder="1" applyAlignment="1">
      <alignment vertical="center" wrapText="1"/>
    </xf>
    <xf numFmtId="10" fontId="44" fillId="0" borderId="9" xfId="0" applyNumberFormat="1" applyFont="1" applyBorder="1" applyAlignment="1">
      <alignment vertical="center" wrapText="1"/>
    </xf>
    <xf numFmtId="44" fontId="44" fillId="0" borderId="33" xfId="0" applyNumberFormat="1" applyFont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10" fontId="44" fillId="0" borderId="2" xfId="0" applyNumberFormat="1" applyFont="1" applyBorder="1" applyAlignment="1">
      <alignment vertical="center" wrapText="1"/>
    </xf>
    <xf numFmtId="44" fontId="44" fillId="0" borderId="21" xfId="0" applyNumberFormat="1" applyFont="1" applyBorder="1" applyAlignment="1">
      <alignment horizontal="left" vertical="center" wrapText="1"/>
    </xf>
    <xf numFmtId="0" fontId="44" fillId="0" borderId="3" xfId="0" applyFont="1" applyBorder="1" applyAlignment="1">
      <alignment vertical="center" wrapText="1"/>
    </xf>
    <xf numFmtId="44" fontId="44" fillId="0" borderId="34" xfId="0" applyNumberFormat="1" applyFont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10" fontId="43" fillId="2" borderId="31" xfId="0" applyNumberFormat="1" applyFont="1" applyFill="1" applyBorder="1" applyAlignment="1">
      <alignment vertical="center" wrapText="1"/>
    </xf>
    <xf numFmtId="44" fontId="43" fillId="2" borderId="35" xfId="0" applyNumberFormat="1" applyFont="1" applyFill="1" applyBorder="1" applyAlignment="1">
      <alignment horizontal="left" vertical="center" wrapText="1"/>
    </xf>
    <xf numFmtId="0" fontId="30" fillId="2" borderId="30" xfId="0" applyFont="1" applyFill="1" applyBorder="1" applyAlignment="1">
      <alignment horizontal="center" vertical="center" wrapText="1"/>
    </xf>
    <xf numFmtId="44" fontId="21" fillId="0" borderId="33" xfId="0" applyNumberFormat="1" applyFont="1" applyBorder="1" applyAlignment="1">
      <alignment horizontal="left" vertical="center" wrapText="1"/>
    </xf>
    <xf numFmtId="44" fontId="21" fillId="0" borderId="21" xfId="0" applyNumberFormat="1" applyFont="1" applyBorder="1" applyAlignment="1">
      <alignment horizontal="left" vertical="center" wrapText="1"/>
    </xf>
    <xf numFmtId="44" fontId="30" fillId="2" borderId="21" xfId="0" applyNumberFormat="1" applyFont="1" applyFill="1" applyBorder="1" applyAlignment="1">
      <alignment horizontal="left" vertical="center" wrapText="1"/>
    </xf>
    <xf numFmtId="44" fontId="30" fillId="2" borderId="35" xfId="0" applyNumberFormat="1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44" fontId="21" fillId="0" borderId="1" xfId="0" applyNumberFormat="1" applyFont="1" applyBorder="1" applyAlignment="1">
      <alignment vertical="center" wrapText="1"/>
    </xf>
    <xf numFmtId="44" fontId="30" fillId="0" borderId="1" xfId="0" applyNumberFormat="1" applyFont="1" applyBorder="1" applyAlignment="1">
      <alignment vertical="center" wrapText="1"/>
    </xf>
    <xf numFmtId="44" fontId="30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44" fontId="0" fillId="0" borderId="0" xfId="0" applyNumberFormat="1" applyAlignment="1">
      <alignment vertical="center" wrapText="1"/>
    </xf>
    <xf numFmtId="0" fontId="0" fillId="0" borderId="1" xfId="0" applyBorder="1" applyAlignment="1">
      <alignment vertical="center" wrapText="1"/>
    </xf>
    <xf numFmtId="167" fontId="0" fillId="0" borderId="1" xfId="0" applyNumberFormat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0" fontId="29" fillId="2" borderId="3" xfId="0" applyFont="1" applyFill="1" applyBorder="1" applyAlignment="1">
      <alignment horizontal="right" vertical="center" wrapText="1"/>
    </xf>
    <xf numFmtId="0" fontId="29" fillId="2" borderId="4" xfId="0" applyFont="1" applyFill="1" applyBorder="1" applyAlignment="1">
      <alignment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5" fillId="2" borderId="9" xfId="0" applyFont="1" applyFill="1" applyBorder="1" applyAlignment="1">
      <alignment horizontal="center" vertical="center" wrapText="1"/>
    </xf>
    <xf numFmtId="44" fontId="29" fillId="2" borderId="1" xfId="0" applyNumberFormat="1" applyFont="1" applyFill="1" applyBorder="1" applyAlignment="1">
      <alignment vertical="center" wrapText="1"/>
    </xf>
    <xf numFmtId="4" fontId="29" fillId="2" borderId="1" xfId="0" applyNumberFormat="1" applyFont="1" applyFill="1" applyBorder="1" applyAlignment="1">
      <alignment vertical="center" wrapText="1"/>
    </xf>
    <xf numFmtId="4" fontId="29" fillId="2" borderId="8" xfId="0" applyNumberFormat="1" applyFont="1" applyFill="1" applyBorder="1" applyAlignment="1">
      <alignment vertical="center" wrapText="1"/>
    </xf>
    <xf numFmtId="44" fontId="30" fillId="2" borderId="4" xfId="0" applyNumberFormat="1" applyFont="1" applyFill="1" applyBorder="1" applyAlignment="1">
      <alignment vertical="center" wrapText="1"/>
    </xf>
    <xf numFmtId="44" fontId="21" fillId="0" borderId="0" xfId="0" applyNumberFormat="1" applyFont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2" fontId="21" fillId="0" borderId="0" xfId="0" applyNumberFormat="1" applyFont="1" applyAlignment="1">
      <alignment vertical="center" wrapText="1"/>
    </xf>
    <xf numFmtId="44" fontId="21" fillId="0" borderId="2" xfId="0" applyNumberFormat="1" applyFont="1" applyBorder="1" applyAlignment="1">
      <alignment vertical="center" wrapText="1"/>
    </xf>
    <xf numFmtId="44" fontId="30" fillId="2" borderId="9" xfId="0" applyNumberFormat="1" applyFont="1" applyFill="1" applyBorder="1" applyAlignment="1">
      <alignment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5" fillId="2" borderId="18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justify" vertical="center" wrapText="1"/>
    </xf>
    <xf numFmtId="4" fontId="46" fillId="0" borderId="1" xfId="0" applyNumberFormat="1" applyFont="1" applyBorder="1" applyAlignment="1">
      <alignment horizontal="right" vertical="center" wrapText="1"/>
    </xf>
    <xf numFmtId="0" fontId="46" fillId="0" borderId="1" xfId="0" applyFont="1" applyBorder="1" applyAlignment="1">
      <alignment horizontal="right" vertical="center" wrapText="1"/>
    </xf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44" fontId="46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21" fillId="0" borderId="3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10" fontId="44" fillId="0" borderId="1" xfId="0" applyNumberFormat="1" applyFont="1" applyBorder="1" applyAlignment="1">
      <alignment vertical="center" wrapText="1"/>
    </xf>
    <xf numFmtId="0" fontId="40" fillId="0" borderId="3" xfId="0" applyFont="1" applyBorder="1" applyAlignment="1">
      <alignment horizontal="justify" vertical="center" wrapText="1"/>
    </xf>
    <xf numFmtId="44" fontId="39" fillId="2" borderId="34" xfId="0" applyNumberFormat="1" applyFont="1" applyFill="1" applyBorder="1" applyAlignment="1">
      <alignment vertical="center" wrapText="1"/>
    </xf>
    <xf numFmtId="10" fontId="39" fillId="2" borderId="1" xfId="0" applyNumberFormat="1" applyFont="1" applyFill="1" applyBorder="1" applyAlignment="1">
      <alignment vertical="center" wrapText="1"/>
    </xf>
    <xf numFmtId="44" fontId="34" fillId="0" borderId="21" xfId="0" applyNumberFormat="1" applyFont="1" applyBorder="1" applyAlignment="1">
      <alignment horizontal="left" vertical="center" wrapText="1"/>
    </xf>
    <xf numFmtId="14" fontId="21" fillId="0" borderId="21" xfId="0" applyNumberFormat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44" fontId="33" fillId="2" borderId="35" xfId="0" applyNumberFormat="1" applyFont="1" applyFill="1" applyBorder="1" applyAlignment="1">
      <alignment horizontal="left" vertical="center" wrapText="1"/>
    </xf>
    <xf numFmtId="10" fontId="0" fillId="0" borderId="1" xfId="1" applyNumberFormat="1" applyFont="1" applyBorder="1" applyAlignment="1">
      <alignment vertical="center" wrapText="1"/>
    </xf>
    <xf numFmtId="44" fontId="1" fillId="0" borderId="44" xfId="0" applyNumberFormat="1" applyFont="1" applyBorder="1" applyAlignment="1">
      <alignment horizontal="right" vertical="center"/>
    </xf>
    <xf numFmtId="44" fontId="1" fillId="0" borderId="45" xfId="0" applyNumberFormat="1" applyFont="1" applyBorder="1" applyAlignment="1">
      <alignment horizontal="right" vertical="center"/>
    </xf>
    <xf numFmtId="44" fontId="1" fillId="0" borderId="46" xfId="0" applyNumberFormat="1" applyFont="1" applyBorder="1" applyAlignment="1">
      <alignment horizontal="right" vertical="center"/>
    </xf>
    <xf numFmtId="44" fontId="20" fillId="0" borderId="44" xfId="0" applyNumberFormat="1" applyFont="1" applyBorder="1" applyAlignment="1">
      <alignment vertical="center" wrapText="1"/>
    </xf>
    <xf numFmtId="44" fontId="20" fillId="0" borderId="45" xfId="0" applyNumberFormat="1" applyFont="1" applyBorder="1" applyAlignment="1">
      <alignment vertical="center" wrapText="1"/>
    </xf>
    <xf numFmtId="44" fontId="20" fillId="0" borderId="46" xfId="0" applyNumberFormat="1" applyFont="1" applyBorder="1" applyAlignment="1">
      <alignment vertical="center" wrapText="1"/>
    </xf>
    <xf numFmtId="44" fontId="1" fillId="0" borderId="44" xfId="0" applyNumberFormat="1" applyFont="1" applyBorder="1" applyAlignment="1">
      <alignment vertical="center"/>
    </xf>
    <xf numFmtId="44" fontId="1" fillId="0" borderId="45" xfId="0" applyNumberFormat="1" applyFont="1" applyBorder="1" applyAlignment="1">
      <alignment vertical="center"/>
    </xf>
    <xf numFmtId="44" fontId="1" fillId="0" borderId="46" xfId="0" applyNumberFormat="1" applyFont="1" applyBorder="1" applyAlignment="1">
      <alignment vertical="center"/>
    </xf>
    <xf numFmtId="44" fontId="26" fillId="0" borderId="44" xfId="0" applyNumberFormat="1" applyFont="1" applyBorder="1" applyAlignment="1">
      <alignment horizontal="right" vertical="center"/>
    </xf>
    <xf numFmtId="44" fontId="26" fillId="0" borderId="46" xfId="0" applyNumberFormat="1" applyFont="1" applyBorder="1" applyAlignment="1">
      <alignment horizontal="right" vertical="center"/>
    </xf>
    <xf numFmtId="44" fontId="46" fillId="0" borderId="1" xfId="0" applyNumberFormat="1" applyFont="1" applyBorder="1" applyAlignment="1">
      <alignment horizontal="right" vertical="center"/>
    </xf>
    <xf numFmtId="0" fontId="29" fillId="0" borderId="0" xfId="0" applyFont="1" applyAlignment="1">
      <alignment horizontal="center"/>
    </xf>
    <xf numFmtId="0" fontId="4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4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18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39" xfId="0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right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right" vertical="center" wrapText="1"/>
    </xf>
    <xf numFmtId="0" fontId="12" fillId="2" borderId="8" xfId="0" applyFont="1" applyFill="1" applyBorder="1" applyAlignment="1">
      <alignment horizontal="right" vertical="center" wrapText="1"/>
    </xf>
    <xf numFmtId="0" fontId="12" fillId="2" borderId="1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right" vertical="center"/>
    </xf>
    <xf numFmtId="0" fontId="12" fillId="2" borderId="8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right"/>
    </xf>
    <xf numFmtId="0" fontId="12" fillId="2" borderId="13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35" fillId="2" borderId="15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37" fillId="2" borderId="27" xfId="0" applyFont="1" applyFill="1" applyBorder="1" applyAlignment="1">
      <alignment horizontal="center" vertical="center" wrapText="1"/>
    </xf>
    <xf numFmtId="0" fontId="37" fillId="2" borderId="31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41" fillId="2" borderId="27" xfId="0" applyFont="1" applyFill="1" applyBorder="1" applyAlignment="1">
      <alignment horizontal="center" vertical="center" wrapText="1"/>
    </xf>
    <xf numFmtId="0" fontId="41" fillId="2" borderId="31" xfId="0" applyFont="1" applyFill="1" applyBorder="1" applyAlignment="1">
      <alignment horizontal="center" vertical="center" wrapText="1"/>
    </xf>
    <xf numFmtId="0" fontId="33" fillId="2" borderId="27" xfId="0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 wrapText="1"/>
    </xf>
    <xf numFmtId="0" fontId="35" fillId="2" borderId="18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42" fillId="0" borderId="3" xfId="0" applyFont="1" applyBorder="1" applyAlignment="1">
      <alignment horizontal="left" vertical="center" wrapText="1"/>
    </xf>
    <xf numFmtId="0" fontId="42" fillId="0" borderId="4" xfId="0" applyFont="1" applyBorder="1" applyAlignment="1">
      <alignment horizontal="left" vertical="center" wrapText="1"/>
    </xf>
    <xf numFmtId="0" fontId="39" fillId="2" borderId="18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5" xfId="0" applyFont="1" applyFill="1" applyBorder="1" applyAlignment="1">
      <alignment horizontal="center" vertical="center" wrapText="1"/>
    </xf>
    <xf numFmtId="0" fontId="39" fillId="2" borderId="16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9" fillId="2" borderId="27" xfId="0" applyFont="1" applyFill="1" applyBorder="1" applyAlignment="1">
      <alignment horizontal="center" vertical="center" wrapText="1"/>
    </xf>
    <xf numFmtId="0" fontId="39" fillId="2" borderId="31" xfId="0" applyFont="1" applyFill="1" applyBorder="1" applyAlignment="1">
      <alignment horizontal="center" vertical="center" wrapText="1"/>
    </xf>
    <xf numFmtId="0" fontId="41" fillId="2" borderId="15" xfId="0" applyFont="1" applyFill="1" applyBorder="1" applyAlignment="1">
      <alignment horizontal="center" vertical="center" wrapText="1"/>
    </xf>
    <xf numFmtId="0" fontId="41" fillId="2" borderId="16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center" vertical="center" wrapText="1"/>
    </xf>
    <xf numFmtId="0" fontId="43" fillId="2" borderId="15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 wrapText="1"/>
    </xf>
    <xf numFmtId="0" fontId="43" fillId="2" borderId="17" xfId="0" applyFont="1" applyFill="1" applyBorder="1" applyAlignment="1">
      <alignment horizontal="center" vertical="center" wrapText="1"/>
    </xf>
    <xf numFmtId="0" fontId="43" fillId="2" borderId="27" xfId="0" applyFont="1" applyFill="1" applyBorder="1" applyAlignment="1">
      <alignment horizontal="center" vertical="center" wrapText="1"/>
    </xf>
    <xf numFmtId="0" fontId="43" fillId="2" borderId="31" xfId="0" applyFont="1" applyFill="1" applyBorder="1" applyAlignment="1">
      <alignment horizontal="center" vertical="center" wrapText="1"/>
    </xf>
    <xf numFmtId="0" fontId="40" fillId="0" borderId="3" xfId="0" applyFont="1" applyBorder="1" applyAlignment="1">
      <alignment horizontal="left" vertical="center" wrapText="1"/>
    </xf>
    <xf numFmtId="0" fontId="40" fillId="0" borderId="4" xfId="0" applyFont="1" applyBorder="1" applyAlignment="1">
      <alignment horizontal="left" vertical="center" wrapText="1"/>
    </xf>
    <xf numFmtId="0" fontId="43" fillId="2" borderId="36" xfId="0" applyFont="1" applyFill="1" applyBorder="1" applyAlignment="1">
      <alignment horizontal="center" vertical="center" wrapText="1"/>
    </xf>
    <xf numFmtId="0" fontId="43" fillId="2" borderId="37" xfId="0" applyFont="1" applyFill="1" applyBorder="1" applyAlignment="1">
      <alignment horizontal="center" vertical="center" wrapText="1"/>
    </xf>
    <xf numFmtId="0" fontId="43" fillId="2" borderId="30" xfId="0" applyFont="1" applyFill="1" applyBorder="1" applyAlignment="1">
      <alignment horizontal="center" vertical="center" wrapText="1"/>
    </xf>
    <xf numFmtId="0" fontId="36" fillId="0" borderId="8" xfId="0" applyFont="1" applyBorder="1" applyAlignment="1">
      <alignment horizontal="left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2" fillId="0" borderId="14" xfId="0" applyFont="1" applyBorder="1" applyAlignment="1">
      <alignment horizontal="left" vertical="center" wrapText="1"/>
    </xf>
    <xf numFmtId="0" fontId="42" fillId="0" borderId="13" xfId="0" applyFont="1" applyBorder="1" applyAlignment="1">
      <alignment horizontal="left" vertical="center" wrapText="1"/>
    </xf>
    <xf numFmtId="0" fontId="35" fillId="2" borderId="27" xfId="0" applyFont="1" applyFill="1" applyBorder="1" applyAlignment="1">
      <alignment horizontal="center" vertical="center" wrapText="1"/>
    </xf>
    <xf numFmtId="0" fontId="35" fillId="2" borderId="31" xfId="0" applyFont="1" applyFill="1" applyBorder="1" applyAlignment="1">
      <alignment horizontal="center" vertical="center" wrapText="1"/>
    </xf>
    <xf numFmtId="0" fontId="37" fillId="2" borderId="15" xfId="0" applyFont="1" applyFill="1" applyBorder="1" applyAlignment="1">
      <alignment horizontal="center" vertical="center" wrapText="1"/>
    </xf>
    <xf numFmtId="0" fontId="37" fillId="2" borderId="16" xfId="0" applyFont="1" applyFill="1" applyBorder="1" applyAlignment="1">
      <alignment horizontal="center" vertical="center" wrapText="1"/>
    </xf>
    <xf numFmtId="0" fontId="37" fillId="2" borderId="17" xfId="0" applyFont="1" applyFill="1" applyBorder="1" applyAlignment="1">
      <alignment horizontal="center" vertical="center" wrapText="1"/>
    </xf>
    <xf numFmtId="166" fontId="37" fillId="2" borderId="18" xfId="0" applyNumberFormat="1" applyFont="1" applyFill="1" applyBorder="1" applyAlignment="1">
      <alignment horizontal="center" vertical="center" wrapText="1"/>
    </xf>
    <xf numFmtId="166" fontId="37" fillId="2" borderId="1" xfId="0" applyNumberFormat="1" applyFont="1" applyFill="1" applyBorder="1" applyAlignment="1">
      <alignment horizontal="center" vertical="center" wrapText="1"/>
    </xf>
    <xf numFmtId="0" fontId="37" fillId="2" borderId="18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left" vertical="center" wrapText="1"/>
    </xf>
    <xf numFmtId="0" fontId="33" fillId="2" borderId="28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137585</xdr:colOff>
      <xdr:row>5</xdr:row>
      <xdr:rowOff>0</xdr:rowOff>
    </xdr:from>
    <xdr:to>
      <xdr:col>7</xdr:col>
      <xdr:colOff>455080</xdr:colOff>
      <xdr:row>9</xdr:row>
      <xdr:rowOff>1</xdr:rowOff>
    </xdr:to>
    <xdr:sp macro="" textlink="">
      <xdr:nvSpPr>
        <xdr:cNvPr id="2" name="Chave direita 1"/>
        <xdr:cNvSpPr/>
      </xdr:nvSpPr>
      <xdr:spPr>
        <a:xfrm>
          <a:off x="9503835" y="1778000"/>
          <a:ext cx="317495" cy="1693334"/>
        </a:xfrm>
        <a:prstGeom prst="rightBrace">
          <a:avLst/>
        </a:prstGeom>
        <a:noFill/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8"/>
  <sheetViews>
    <sheetView tabSelected="1" workbookViewId="0">
      <selection activeCell="N9" sqref="N9"/>
    </sheetView>
  </sheetViews>
  <sheetFormatPr defaultRowHeight="15" x14ac:dyDescent="0.25"/>
  <cols>
    <col min="1" max="1" width="2.7109375" style="210" customWidth="1"/>
    <col min="2" max="2" width="5.7109375" style="210" customWidth="1"/>
    <col min="3" max="3" width="35.7109375" style="210" customWidth="1"/>
    <col min="4" max="5" width="8.7109375" style="210" customWidth="1"/>
    <col min="6" max="9" width="16.7109375" style="210" customWidth="1"/>
    <col min="10" max="16384" width="9.140625" style="210"/>
  </cols>
  <sheetData>
    <row r="1" spans="1:9" s="213" customFormat="1" ht="20.100000000000001" customHeight="1" x14ac:dyDescent="0.25">
      <c r="A1" s="240" t="s">
        <v>440</v>
      </c>
      <c r="B1" s="240"/>
      <c r="C1" s="240"/>
      <c r="D1" s="240"/>
      <c r="E1" s="240"/>
      <c r="F1" s="240"/>
      <c r="G1" s="240"/>
      <c r="H1" s="240"/>
      <c r="I1" s="240"/>
    </row>
    <row r="2" spans="1:9" x14ac:dyDescent="0.25">
      <c r="A2" s="241" t="s">
        <v>267</v>
      </c>
      <c r="B2" s="241" t="s">
        <v>8</v>
      </c>
      <c r="C2" s="241" t="s">
        <v>432</v>
      </c>
      <c r="D2" s="241" t="s">
        <v>77</v>
      </c>
      <c r="E2" s="241" t="s">
        <v>131</v>
      </c>
      <c r="F2" s="242" t="s">
        <v>18</v>
      </c>
      <c r="G2" s="242"/>
      <c r="H2" s="242"/>
      <c r="I2" s="242"/>
    </row>
    <row r="3" spans="1:9" x14ac:dyDescent="0.25">
      <c r="A3" s="241"/>
      <c r="B3" s="241"/>
      <c r="C3" s="241"/>
      <c r="D3" s="241"/>
      <c r="E3" s="241"/>
      <c r="F3" s="205" t="s">
        <v>19</v>
      </c>
      <c r="G3" s="205" t="s">
        <v>16</v>
      </c>
      <c r="H3" s="211" t="s">
        <v>410</v>
      </c>
      <c r="I3" s="211" t="s">
        <v>433</v>
      </c>
    </row>
    <row r="4" spans="1:9" ht="33" customHeight="1" x14ac:dyDescent="0.25">
      <c r="A4" s="238">
        <v>1</v>
      </c>
      <c r="B4" s="206">
        <v>1</v>
      </c>
      <c r="C4" s="207" t="s">
        <v>434</v>
      </c>
      <c r="D4" s="206" t="s">
        <v>358</v>
      </c>
      <c r="E4" s="208">
        <f>RESUMO_PROPOSTA!D17</f>
        <v>98747.81</v>
      </c>
      <c r="F4" s="212">
        <f>RESUMO_PROPOSTA!E17</f>
        <v>0</v>
      </c>
      <c r="G4" s="212">
        <f>ROUND((E4*F4),2)</f>
        <v>0</v>
      </c>
      <c r="H4" s="236">
        <f>ROUND((G4*12),2)</f>
        <v>0</v>
      </c>
      <c r="I4" s="236">
        <f>ROUND((G4*30),2)</f>
        <v>0</v>
      </c>
    </row>
    <row r="5" spans="1:9" ht="33" customHeight="1" x14ac:dyDescent="0.25">
      <c r="A5" s="238"/>
      <c r="B5" s="206">
        <v>2</v>
      </c>
      <c r="C5" s="207" t="s">
        <v>359</v>
      </c>
      <c r="D5" s="206" t="s">
        <v>358</v>
      </c>
      <c r="E5" s="208">
        <f>RESUMO_PROPOSTA!D18</f>
        <v>2481.11</v>
      </c>
      <c r="F5" s="212">
        <f>RESUMO_PROPOSTA!E18</f>
        <v>0</v>
      </c>
      <c r="G5" s="212">
        <f t="shared" ref="G5:G13" si="0">ROUND((E5*F5),2)</f>
        <v>0</v>
      </c>
      <c r="H5" s="236">
        <f t="shared" ref="H5:H13" si="1">ROUND((G5*12),2)</f>
        <v>0</v>
      </c>
      <c r="I5" s="236">
        <f t="shared" ref="I5:I13" si="2">ROUND((G5*30),2)</f>
        <v>0</v>
      </c>
    </row>
    <row r="6" spans="1:9" ht="33" customHeight="1" x14ac:dyDescent="0.25">
      <c r="A6" s="238"/>
      <c r="B6" s="206">
        <v>3</v>
      </c>
      <c r="C6" s="207" t="s">
        <v>360</v>
      </c>
      <c r="D6" s="206" t="s">
        <v>358</v>
      </c>
      <c r="E6" s="208">
        <f>RESUMO_PROPOSTA!D19</f>
        <v>4952.75</v>
      </c>
      <c r="F6" s="212">
        <f>RESUMO_PROPOSTA!E19</f>
        <v>0</v>
      </c>
      <c r="G6" s="212">
        <f t="shared" si="0"/>
        <v>0</v>
      </c>
      <c r="H6" s="236">
        <f t="shared" si="1"/>
        <v>0</v>
      </c>
      <c r="I6" s="236">
        <f t="shared" si="2"/>
        <v>0</v>
      </c>
    </row>
    <row r="7" spans="1:9" ht="33" customHeight="1" x14ac:dyDescent="0.25">
      <c r="A7" s="238"/>
      <c r="B7" s="206">
        <v>4</v>
      </c>
      <c r="C7" s="207" t="s">
        <v>435</v>
      </c>
      <c r="D7" s="206" t="s">
        <v>358</v>
      </c>
      <c r="E7" s="208">
        <f>RESUMO_PROPOSTA!D20</f>
        <v>57656.03</v>
      </c>
      <c r="F7" s="212">
        <f>RESUMO_PROPOSTA!E20</f>
        <v>0</v>
      </c>
      <c r="G7" s="212">
        <f t="shared" si="0"/>
        <v>0</v>
      </c>
      <c r="H7" s="236">
        <f t="shared" si="1"/>
        <v>0</v>
      </c>
      <c r="I7" s="236">
        <f t="shared" si="2"/>
        <v>0</v>
      </c>
    </row>
    <row r="8" spans="1:9" ht="33" customHeight="1" x14ac:dyDescent="0.25">
      <c r="A8" s="238"/>
      <c r="B8" s="206">
        <v>5</v>
      </c>
      <c r="C8" s="207" t="s">
        <v>362</v>
      </c>
      <c r="D8" s="206" t="s">
        <v>358</v>
      </c>
      <c r="E8" s="208">
        <f>RESUMO_PROPOSTA!D21</f>
        <v>8974.94</v>
      </c>
      <c r="F8" s="212">
        <f>RESUMO_PROPOSTA!E21</f>
        <v>0</v>
      </c>
      <c r="G8" s="212">
        <f t="shared" si="0"/>
        <v>0</v>
      </c>
      <c r="H8" s="236">
        <f t="shared" si="1"/>
        <v>0</v>
      </c>
      <c r="I8" s="236">
        <f t="shared" si="2"/>
        <v>0</v>
      </c>
    </row>
    <row r="9" spans="1:9" ht="33" customHeight="1" x14ac:dyDescent="0.25">
      <c r="A9" s="238"/>
      <c r="B9" s="206">
        <v>6</v>
      </c>
      <c r="C9" s="207" t="s">
        <v>408</v>
      </c>
      <c r="D9" s="206" t="s">
        <v>358</v>
      </c>
      <c r="E9" s="208">
        <f>RESUMO_PROPOSTA!D22</f>
        <v>8974.94</v>
      </c>
      <c r="F9" s="212">
        <f>RESUMO_PROPOSTA!E22</f>
        <v>0</v>
      </c>
      <c r="G9" s="212">
        <f t="shared" si="0"/>
        <v>0</v>
      </c>
      <c r="H9" s="236">
        <f t="shared" si="1"/>
        <v>0</v>
      </c>
      <c r="I9" s="236">
        <f t="shared" si="2"/>
        <v>0</v>
      </c>
    </row>
    <row r="10" spans="1:9" ht="33" customHeight="1" x14ac:dyDescent="0.25">
      <c r="A10" s="238"/>
      <c r="B10" s="206">
        <v>7</v>
      </c>
      <c r="C10" s="207" t="s">
        <v>364</v>
      </c>
      <c r="D10" s="206" t="s">
        <v>358</v>
      </c>
      <c r="E10" s="208">
        <f>RESUMO_PROPOSTA!D23</f>
        <v>3966.83</v>
      </c>
      <c r="F10" s="212">
        <f>RESUMO_PROPOSTA!E23</f>
        <v>0</v>
      </c>
      <c r="G10" s="212">
        <f t="shared" si="0"/>
        <v>0</v>
      </c>
      <c r="H10" s="236">
        <f t="shared" si="1"/>
        <v>0</v>
      </c>
      <c r="I10" s="236">
        <f t="shared" si="2"/>
        <v>0</v>
      </c>
    </row>
    <row r="11" spans="1:9" ht="33" customHeight="1" x14ac:dyDescent="0.25">
      <c r="A11" s="238"/>
      <c r="B11" s="206">
        <v>8</v>
      </c>
      <c r="C11" s="207" t="s">
        <v>436</v>
      </c>
      <c r="D11" s="206" t="s">
        <v>358</v>
      </c>
      <c r="E11" s="208">
        <f>RESUMO_PROPOSTA!D24</f>
        <v>6945.54</v>
      </c>
      <c r="F11" s="212">
        <f>RESUMO_PROPOSTA!E24</f>
        <v>0</v>
      </c>
      <c r="G11" s="212">
        <f t="shared" si="0"/>
        <v>0</v>
      </c>
      <c r="H11" s="236">
        <f t="shared" si="1"/>
        <v>0</v>
      </c>
      <c r="I11" s="236">
        <f t="shared" si="2"/>
        <v>0</v>
      </c>
    </row>
    <row r="12" spans="1:9" ht="33" customHeight="1" x14ac:dyDescent="0.25">
      <c r="A12" s="238"/>
      <c r="B12" s="206">
        <v>9</v>
      </c>
      <c r="C12" s="207" t="s">
        <v>23</v>
      </c>
      <c r="D12" s="206" t="s">
        <v>437</v>
      </c>
      <c r="E12" s="209">
        <v>1</v>
      </c>
      <c r="F12" s="212">
        <f>RESUMO_PROPOSTA!G5</f>
        <v>0</v>
      </c>
      <c r="G12" s="212">
        <f t="shared" si="0"/>
        <v>0</v>
      </c>
      <c r="H12" s="236">
        <f t="shared" si="1"/>
        <v>0</v>
      </c>
      <c r="I12" s="236">
        <f t="shared" si="2"/>
        <v>0</v>
      </c>
    </row>
    <row r="13" spans="1:9" ht="33" customHeight="1" x14ac:dyDescent="0.25">
      <c r="A13" s="238"/>
      <c r="B13" s="206">
        <v>10</v>
      </c>
      <c r="C13" s="207" t="s">
        <v>438</v>
      </c>
      <c r="D13" s="206" t="s">
        <v>437</v>
      </c>
      <c r="E13" s="209">
        <v>1</v>
      </c>
      <c r="F13" s="212">
        <f>RESUMO_PROPOSTA!G4</f>
        <v>0</v>
      </c>
      <c r="G13" s="212">
        <f t="shared" si="0"/>
        <v>0</v>
      </c>
      <c r="H13" s="236">
        <f t="shared" si="1"/>
        <v>0</v>
      </c>
      <c r="I13" s="236">
        <f t="shared" si="2"/>
        <v>0</v>
      </c>
    </row>
    <row r="14" spans="1:9" ht="33" customHeight="1" x14ac:dyDescent="0.25">
      <c r="A14" s="239" t="s">
        <v>20</v>
      </c>
      <c r="B14" s="239"/>
      <c r="C14" s="239"/>
      <c r="D14" s="239"/>
      <c r="E14" s="239"/>
      <c r="F14" s="239"/>
      <c r="G14" s="44">
        <f>SUM(G4:G13)</f>
        <v>0</v>
      </c>
      <c r="H14" s="44">
        <f>SUM(H4:H13)</f>
        <v>0</v>
      </c>
      <c r="I14" s="44">
        <f>SUM(I4:I13)</f>
        <v>0</v>
      </c>
    </row>
    <row r="18" spans="1:9" x14ac:dyDescent="0.25">
      <c r="A18" s="237" t="s">
        <v>442</v>
      </c>
      <c r="B18" s="237"/>
      <c r="C18" s="237"/>
      <c r="D18" s="237"/>
      <c r="E18" s="237"/>
      <c r="F18" s="237"/>
      <c r="G18" s="237"/>
      <c r="H18" s="237"/>
      <c r="I18" s="237"/>
    </row>
  </sheetData>
  <mergeCells count="10">
    <mergeCell ref="A18:I18"/>
    <mergeCell ref="A4:A13"/>
    <mergeCell ref="A14:F14"/>
    <mergeCell ref="A1:I1"/>
    <mergeCell ref="A2:A3"/>
    <mergeCell ref="B2:B3"/>
    <mergeCell ref="C2:C3"/>
    <mergeCell ref="D2:D3"/>
    <mergeCell ref="E2:E3"/>
    <mergeCell ref="F2:I2"/>
  </mergeCells>
  <printOptions horizontalCentered="1"/>
  <pageMargins left="0.78740157480314965" right="0.78740157480314965" top="0.78740157480314965" bottom="0.59055118110236227" header="0.11811023622047245" footer="0.19685039370078741"/>
  <pageSetup paperSize="9" orientation="landscape" r:id="rId1"/>
  <headerFooter>
    <oddHeader>&amp;C&amp;G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14"/>
  <sheetViews>
    <sheetView zoomScaleNormal="100" workbookViewId="0">
      <selection activeCell="N20" sqref="N20"/>
    </sheetView>
  </sheetViews>
  <sheetFormatPr defaultRowHeight="16.5" x14ac:dyDescent="0.25"/>
  <cols>
    <col min="1" max="1" width="4.7109375" style="83" customWidth="1"/>
    <col min="2" max="2" width="50.7109375" style="74" customWidth="1"/>
    <col min="3" max="4" width="25.7109375" style="74" customWidth="1"/>
    <col min="5" max="5" width="9.140625" style="74" customWidth="1"/>
    <col min="6" max="16384" width="9.140625" style="74"/>
  </cols>
  <sheetData>
    <row r="1" spans="1:5" ht="30" customHeight="1" x14ac:dyDescent="0.25">
      <c r="A1" s="319" t="s">
        <v>221</v>
      </c>
      <c r="B1" s="320"/>
      <c r="C1" s="320"/>
      <c r="D1" s="321"/>
      <c r="E1" s="73" t="s">
        <v>441</v>
      </c>
    </row>
    <row r="2" spans="1:5" x14ac:dyDescent="0.25">
      <c r="A2" s="322" t="s">
        <v>222</v>
      </c>
      <c r="B2" s="252"/>
      <c r="C2" s="252"/>
      <c r="D2" s="323"/>
    </row>
    <row r="3" spans="1:5" x14ac:dyDescent="0.25">
      <c r="A3" s="199" t="s">
        <v>223</v>
      </c>
      <c r="B3" s="328" t="s">
        <v>224</v>
      </c>
      <c r="C3" s="330"/>
      <c r="D3" s="221"/>
    </row>
    <row r="4" spans="1:5" x14ac:dyDescent="0.25">
      <c r="A4" s="199" t="s">
        <v>225</v>
      </c>
      <c r="B4" s="333" t="s">
        <v>339</v>
      </c>
      <c r="C4" s="328"/>
      <c r="D4" s="77" t="s">
        <v>340</v>
      </c>
    </row>
    <row r="5" spans="1:5" x14ac:dyDescent="0.25">
      <c r="A5" s="199" t="s">
        <v>226</v>
      </c>
      <c r="B5" s="328" t="s">
        <v>227</v>
      </c>
      <c r="C5" s="330"/>
      <c r="D5" s="77"/>
    </row>
    <row r="6" spans="1:5" x14ac:dyDescent="0.25">
      <c r="A6" s="199" t="s">
        <v>228</v>
      </c>
      <c r="B6" s="328" t="s">
        <v>229</v>
      </c>
      <c r="C6" s="330"/>
      <c r="D6" s="77"/>
    </row>
    <row r="7" spans="1:5" x14ac:dyDescent="0.25">
      <c r="A7" s="322" t="s">
        <v>230</v>
      </c>
      <c r="B7" s="252"/>
      <c r="C7" s="252"/>
      <c r="D7" s="324"/>
    </row>
    <row r="8" spans="1:5" x14ac:dyDescent="0.25">
      <c r="A8" s="357" t="s">
        <v>231</v>
      </c>
      <c r="B8" s="248"/>
      <c r="C8" s="200" t="s">
        <v>232</v>
      </c>
      <c r="D8" s="201" t="s">
        <v>328</v>
      </c>
    </row>
    <row r="9" spans="1:5" x14ac:dyDescent="0.25">
      <c r="A9" s="358" t="s">
        <v>342</v>
      </c>
      <c r="B9" s="359"/>
      <c r="C9" s="80" t="s">
        <v>234</v>
      </c>
      <c r="D9" s="81">
        <v>1</v>
      </c>
    </row>
    <row r="10" spans="1:5" x14ac:dyDescent="0.25">
      <c r="A10" s="360"/>
      <c r="B10" s="361"/>
      <c r="C10" s="215" t="s">
        <v>235</v>
      </c>
      <c r="D10" s="221" t="s">
        <v>338</v>
      </c>
    </row>
    <row r="11" spans="1:5" x14ac:dyDescent="0.25">
      <c r="A11" s="362"/>
      <c r="B11" s="363"/>
      <c r="C11" s="80" t="s">
        <v>236</v>
      </c>
      <c r="D11" s="214"/>
    </row>
    <row r="12" spans="1:5" x14ac:dyDescent="0.25">
      <c r="A12" s="322" t="s">
        <v>237</v>
      </c>
      <c r="B12" s="252"/>
      <c r="C12" s="252"/>
      <c r="D12" s="324"/>
    </row>
    <row r="13" spans="1:5" x14ac:dyDescent="0.25">
      <c r="A13" s="322" t="s">
        <v>238</v>
      </c>
      <c r="B13" s="252"/>
      <c r="C13" s="252"/>
      <c r="D13" s="324"/>
    </row>
    <row r="14" spans="1:5" x14ac:dyDescent="0.25">
      <c r="A14" s="199">
        <v>1</v>
      </c>
      <c r="B14" s="328" t="s">
        <v>231</v>
      </c>
      <c r="C14" s="330"/>
      <c r="D14" s="77" t="str">
        <f>A9</f>
        <v>Copeiragem</v>
      </c>
    </row>
    <row r="15" spans="1:5" x14ac:dyDescent="0.25">
      <c r="A15" s="199">
        <v>2</v>
      </c>
      <c r="B15" s="328" t="s">
        <v>239</v>
      </c>
      <c r="C15" s="330"/>
      <c r="D15" s="170">
        <v>0</v>
      </c>
    </row>
    <row r="16" spans="1:5" x14ac:dyDescent="0.25">
      <c r="A16" s="199">
        <v>3</v>
      </c>
      <c r="B16" s="328" t="s">
        <v>240</v>
      </c>
      <c r="C16" s="330"/>
      <c r="D16" s="77" t="s">
        <v>373</v>
      </c>
    </row>
    <row r="17" spans="1:4" ht="17.25" thickBot="1" x14ac:dyDescent="0.3">
      <c r="A17" s="204">
        <v>4</v>
      </c>
      <c r="B17" s="331" t="s">
        <v>242</v>
      </c>
      <c r="C17" s="332"/>
      <c r="D17" s="222" t="s">
        <v>336</v>
      </c>
    </row>
    <row r="18" spans="1:4" ht="5.0999999999999996" customHeight="1" thickBot="1" x14ac:dyDescent="0.3">
      <c r="B18" s="84"/>
      <c r="C18" s="84"/>
      <c r="D18" s="85"/>
    </row>
    <row r="19" spans="1:4" ht="30" customHeight="1" x14ac:dyDescent="0.25">
      <c r="A19" s="325" t="s">
        <v>243</v>
      </c>
      <c r="B19" s="326"/>
      <c r="C19" s="326"/>
      <c r="D19" s="327"/>
    </row>
    <row r="20" spans="1:4" x14ac:dyDescent="0.25">
      <c r="A20" s="86">
        <v>1</v>
      </c>
      <c r="B20" s="364" t="s">
        <v>244</v>
      </c>
      <c r="C20" s="364"/>
      <c r="D20" s="87" t="s">
        <v>245</v>
      </c>
    </row>
    <row r="21" spans="1:4" x14ac:dyDescent="0.25">
      <c r="A21" s="88" t="s">
        <v>223</v>
      </c>
      <c r="B21" s="365" t="s">
        <v>246</v>
      </c>
      <c r="C21" s="366"/>
      <c r="D21" s="89">
        <f>D15</f>
        <v>0</v>
      </c>
    </row>
    <row r="22" spans="1:4" x14ac:dyDescent="0.25">
      <c r="A22" s="86" t="s">
        <v>225</v>
      </c>
      <c r="B22" s="317" t="s">
        <v>247</v>
      </c>
      <c r="C22" s="318"/>
      <c r="D22" s="220">
        <v>0</v>
      </c>
    </row>
    <row r="23" spans="1:4" ht="30" customHeight="1" thickBot="1" x14ac:dyDescent="0.3">
      <c r="A23" s="344" t="s">
        <v>248</v>
      </c>
      <c r="B23" s="345"/>
      <c r="C23" s="345"/>
      <c r="D23" s="90">
        <f>D21+D22</f>
        <v>0</v>
      </c>
    </row>
    <row r="24" spans="1:4" ht="5.0999999999999996" customHeight="1" thickBot="1" x14ac:dyDescent="0.3">
      <c r="A24" s="91"/>
      <c r="B24" s="91"/>
      <c r="C24" s="91"/>
      <c r="D24" s="92"/>
    </row>
    <row r="25" spans="1:4" ht="30" customHeight="1" x14ac:dyDescent="0.25">
      <c r="A25" s="314" t="s">
        <v>249</v>
      </c>
      <c r="B25" s="315"/>
      <c r="C25" s="315"/>
      <c r="D25" s="316"/>
    </row>
    <row r="26" spans="1:4" x14ac:dyDescent="0.25">
      <c r="A26" s="202" t="s">
        <v>250</v>
      </c>
      <c r="B26" s="93" t="s">
        <v>251</v>
      </c>
      <c r="C26" s="203" t="s">
        <v>252</v>
      </c>
      <c r="D26" s="94" t="s">
        <v>245</v>
      </c>
    </row>
    <row r="27" spans="1:4" x14ac:dyDescent="0.25">
      <c r="A27" s="95" t="s">
        <v>223</v>
      </c>
      <c r="B27" s="96" t="s">
        <v>253</v>
      </c>
      <c r="C27" s="97">
        <f>(1/12)</f>
        <v>8.3333333333333329E-2</v>
      </c>
      <c r="D27" s="98">
        <f>$D$23*C27</f>
        <v>0</v>
      </c>
    </row>
    <row r="28" spans="1:4" x14ac:dyDescent="0.25">
      <c r="A28" s="202" t="s">
        <v>225</v>
      </c>
      <c r="B28" s="99" t="s">
        <v>254</v>
      </c>
      <c r="C28" s="100">
        <f>(1/3)*(1/12)</f>
        <v>2.7777777777777776E-2</v>
      </c>
      <c r="D28" s="101">
        <f>D23*C28</f>
        <v>0</v>
      </c>
    </row>
    <row r="29" spans="1:4" x14ac:dyDescent="0.25">
      <c r="A29" s="202" t="s">
        <v>226</v>
      </c>
      <c r="B29" s="99" t="s">
        <v>255</v>
      </c>
      <c r="C29" s="100">
        <f>(1/12)</f>
        <v>8.3333333333333329E-2</v>
      </c>
      <c r="D29" s="101">
        <f>D23*C29</f>
        <v>0</v>
      </c>
    </row>
    <row r="30" spans="1:4" x14ac:dyDescent="0.25">
      <c r="A30" s="346" t="s">
        <v>256</v>
      </c>
      <c r="B30" s="347"/>
      <c r="C30" s="347"/>
      <c r="D30" s="102">
        <f>SUM(D27:D29)</f>
        <v>0</v>
      </c>
    </row>
    <row r="31" spans="1:4" x14ac:dyDescent="0.25">
      <c r="A31" s="202" t="s">
        <v>257</v>
      </c>
      <c r="B31" s="203" t="s">
        <v>258</v>
      </c>
      <c r="C31" s="203" t="s">
        <v>252</v>
      </c>
      <c r="D31" s="94" t="s">
        <v>245</v>
      </c>
    </row>
    <row r="32" spans="1:4" x14ac:dyDescent="0.25">
      <c r="A32" s="202" t="s">
        <v>223</v>
      </c>
      <c r="B32" s="99" t="s">
        <v>259</v>
      </c>
      <c r="C32" s="100">
        <v>0.2</v>
      </c>
      <c r="D32" s="101">
        <f>($D$23+$D$30)*C32</f>
        <v>0</v>
      </c>
    </row>
    <row r="33" spans="1:4" x14ac:dyDescent="0.25">
      <c r="A33" s="202" t="s">
        <v>225</v>
      </c>
      <c r="B33" s="104" t="s">
        <v>260</v>
      </c>
      <c r="C33" s="100">
        <v>2.5000000000000001E-2</v>
      </c>
      <c r="D33" s="105">
        <f t="shared" ref="D33:D39" si="0">($D$23+$D$30)*C33</f>
        <v>0</v>
      </c>
    </row>
    <row r="34" spans="1:4" x14ac:dyDescent="0.25">
      <c r="A34" s="202" t="s">
        <v>226</v>
      </c>
      <c r="B34" s="104" t="s">
        <v>261</v>
      </c>
      <c r="C34" s="100">
        <v>0.03</v>
      </c>
      <c r="D34" s="105">
        <f t="shared" si="0"/>
        <v>0</v>
      </c>
    </row>
    <row r="35" spans="1:4" x14ac:dyDescent="0.25">
      <c r="A35" s="202" t="s">
        <v>228</v>
      </c>
      <c r="B35" s="104" t="s">
        <v>262</v>
      </c>
      <c r="C35" s="100">
        <v>1.4999999999999999E-2</v>
      </c>
      <c r="D35" s="105">
        <f t="shared" si="0"/>
        <v>0</v>
      </c>
    </row>
    <row r="36" spans="1:4" x14ac:dyDescent="0.25">
      <c r="A36" s="202" t="s">
        <v>263</v>
      </c>
      <c r="B36" s="99" t="s">
        <v>264</v>
      </c>
      <c r="C36" s="100">
        <v>0.01</v>
      </c>
      <c r="D36" s="101">
        <f t="shared" si="0"/>
        <v>0</v>
      </c>
    </row>
    <row r="37" spans="1:4" x14ac:dyDescent="0.25">
      <c r="A37" s="202" t="s">
        <v>265</v>
      </c>
      <c r="B37" s="99" t="s">
        <v>266</v>
      </c>
      <c r="C37" s="100">
        <v>6.0000000000000001E-3</v>
      </c>
      <c r="D37" s="101">
        <f t="shared" si="0"/>
        <v>0</v>
      </c>
    </row>
    <row r="38" spans="1:4" x14ac:dyDescent="0.25">
      <c r="A38" s="202" t="s">
        <v>267</v>
      </c>
      <c r="B38" s="99" t="s">
        <v>268</v>
      </c>
      <c r="C38" s="100">
        <v>2E-3</v>
      </c>
      <c r="D38" s="101">
        <f t="shared" si="0"/>
        <v>0</v>
      </c>
    </row>
    <row r="39" spans="1:4" x14ac:dyDescent="0.25">
      <c r="A39" s="202" t="s">
        <v>269</v>
      </c>
      <c r="B39" s="99" t="s">
        <v>270</v>
      </c>
      <c r="C39" s="100">
        <v>0.08</v>
      </c>
      <c r="D39" s="101">
        <f t="shared" si="0"/>
        <v>0</v>
      </c>
    </row>
    <row r="40" spans="1:4" x14ac:dyDescent="0.25">
      <c r="A40" s="346" t="s">
        <v>271</v>
      </c>
      <c r="B40" s="347"/>
      <c r="C40" s="106">
        <f>SUM(C32:C39)</f>
        <v>0.36800000000000005</v>
      </c>
      <c r="D40" s="102">
        <f>SUM(D32:D39)</f>
        <v>0</v>
      </c>
    </row>
    <row r="41" spans="1:4" x14ac:dyDescent="0.25">
      <c r="A41" s="202" t="s">
        <v>272</v>
      </c>
      <c r="B41" s="347" t="s">
        <v>273</v>
      </c>
      <c r="C41" s="347"/>
      <c r="D41" s="94" t="s">
        <v>245</v>
      </c>
    </row>
    <row r="42" spans="1:4" x14ac:dyDescent="0.25">
      <c r="A42" s="202" t="s">
        <v>223</v>
      </c>
      <c r="B42" s="312" t="s">
        <v>274</v>
      </c>
      <c r="C42" s="313"/>
      <c r="D42" s="101">
        <f>BENEFICIOS!B13-(D21*6%)</f>
        <v>0</v>
      </c>
    </row>
    <row r="43" spans="1:4" x14ac:dyDescent="0.25">
      <c r="A43" s="202" t="s">
        <v>225</v>
      </c>
      <c r="B43" s="312" t="s">
        <v>275</v>
      </c>
      <c r="C43" s="382"/>
      <c r="D43" s="101">
        <f>BENEFICIOS!B8</f>
        <v>0</v>
      </c>
    </row>
    <row r="44" spans="1:4" x14ac:dyDescent="0.25">
      <c r="A44" s="202" t="s">
        <v>226</v>
      </c>
      <c r="B44" s="312" t="s">
        <v>276</v>
      </c>
      <c r="C44" s="382"/>
      <c r="D44" s="101">
        <v>0</v>
      </c>
    </row>
    <row r="45" spans="1:4" x14ac:dyDescent="0.25">
      <c r="A45" s="202" t="s">
        <v>228</v>
      </c>
      <c r="B45" s="312" t="s">
        <v>277</v>
      </c>
      <c r="C45" s="382"/>
      <c r="D45" s="101">
        <v>0</v>
      </c>
    </row>
    <row r="46" spans="1:4" x14ac:dyDescent="0.25">
      <c r="A46" s="346" t="s">
        <v>278</v>
      </c>
      <c r="B46" s="347"/>
      <c r="C46" s="347"/>
      <c r="D46" s="108">
        <f>SUM(D42:D45)</f>
        <v>0</v>
      </c>
    </row>
    <row r="47" spans="1:4" x14ac:dyDescent="0.25">
      <c r="A47" s="346" t="s">
        <v>372</v>
      </c>
      <c r="B47" s="347"/>
      <c r="C47" s="347"/>
      <c r="D47" s="94" t="s">
        <v>245</v>
      </c>
    </row>
    <row r="48" spans="1:4" x14ac:dyDescent="0.25">
      <c r="A48" s="202" t="s">
        <v>250</v>
      </c>
      <c r="B48" s="312" t="s">
        <v>251</v>
      </c>
      <c r="C48" s="313"/>
      <c r="D48" s="101">
        <f>D30</f>
        <v>0</v>
      </c>
    </row>
    <row r="49" spans="1:4" x14ac:dyDescent="0.25">
      <c r="A49" s="202" t="s">
        <v>257</v>
      </c>
      <c r="B49" s="312" t="s">
        <v>258</v>
      </c>
      <c r="C49" s="313"/>
      <c r="D49" s="101">
        <f>D40</f>
        <v>0</v>
      </c>
    </row>
    <row r="50" spans="1:4" x14ac:dyDescent="0.25">
      <c r="A50" s="202" t="s">
        <v>272</v>
      </c>
      <c r="B50" s="312" t="s">
        <v>273</v>
      </c>
      <c r="C50" s="313"/>
      <c r="D50" s="101">
        <f>D46</f>
        <v>0</v>
      </c>
    </row>
    <row r="51" spans="1:4" ht="30" customHeight="1" thickBot="1" x14ac:dyDescent="0.3">
      <c r="A51" s="386" t="s">
        <v>279</v>
      </c>
      <c r="B51" s="387"/>
      <c r="C51" s="387"/>
      <c r="D51" s="109">
        <f>SUM(D48:D50)</f>
        <v>0</v>
      </c>
    </row>
    <row r="52" spans="1:4" ht="5.0999999999999996" customHeight="1" thickBot="1" x14ac:dyDescent="0.3">
      <c r="A52" s="110"/>
      <c r="B52" s="110"/>
      <c r="C52" s="110"/>
      <c r="D52" s="111"/>
    </row>
    <row r="53" spans="1:4" ht="30" customHeight="1" x14ac:dyDescent="0.25">
      <c r="A53" s="388" t="s">
        <v>280</v>
      </c>
      <c r="B53" s="389"/>
      <c r="C53" s="389"/>
      <c r="D53" s="390"/>
    </row>
    <row r="54" spans="1:4" x14ac:dyDescent="0.25">
      <c r="A54" s="112" t="s">
        <v>281</v>
      </c>
      <c r="B54" s="113" t="s">
        <v>282</v>
      </c>
      <c r="C54" s="113" t="s">
        <v>252</v>
      </c>
      <c r="D54" s="114" t="s">
        <v>245</v>
      </c>
    </row>
    <row r="55" spans="1:4" x14ac:dyDescent="0.25">
      <c r="A55" s="115" t="s">
        <v>223</v>
      </c>
      <c r="B55" s="116" t="s">
        <v>283</v>
      </c>
      <c r="C55" s="117">
        <f>0.05*(1/12)</f>
        <v>4.1666666666666666E-3</v>
      </c>
      <c r="D55" s="118">
        <f>$D$23*C55</f>
        <v>0</v>
      </c>
    </row>
    <row r="56" spans="1:4" ht="33" x14ac:dyDescent="0.25">
      <c r="A56" s="119" t="s">
        <v>225</v>
      </c>
      <c r="B56" s="120" t="s">
        <v>284</v>
      </c>
      <c r="C56" s="121">
        <f>C55*0.08</f>
        <v>3.3333333333333332E-4</v>
      </c>
      <c r="D56" s="118">
        <f t="shared" ref="D56:D57" si="1">$D$23*C56</f>
        <v>0</v>
      </c>
    </row>
    <row r="57" spans="1:4" ht="33" x14ac:dyDescent="0.25">
      <c r="A57" s="119" t="s">
        <v>226</v>
      </c>
      <c r="B57" s="120" t="s">
        <v>285</v>
      </c>
      <c r="C57" s="121">
        <f>0.08*0.4*0.9*(1+1/12+1/12+(1/3*1/12))</f>
        <v>3.4399999999999993E-2</v>
      </c>
      <c r="D57" s="118">
        <f t="shared" si="1"/>
        <v>0</v>
      </c>
    </row>
    <row r="58" spans="1:4" x14ac:dyDescent="0.25">
      <c r="A58" s="391" t="s">
        <v>286</v>
      </c>
      <c r="B58" s="392"/>
      <c r="C58" s="392"/>
      <c r="D58" s="123">
        <f>SUM(D55:D57)</f>
        <v>0</v>
      </c>
    </row>
    <row r="59" spans="1:4" x14ac:dyDescent="0.25">
      <c r="A59" s="112" t="s">
        <v>287</v>
      </c>
      <c r="B59" s="113" t="s">
        <v>288</v>
      </c>
      <c r="C59" s="113" t="s">
        <v>252</v>
      </c>
      <c r="D59" s="114" t="s">
        <v>245</v>
      </c>
    </row>
    <row r="60" spans="1:4" x14ac:dyDescent="0.25">
      <c r="A60" s="112" t="s">
        <v>223</v>
      </c>
      <c r="B60" s="124" t="s">
        <v>289</v>
      </c>
      <c r="C60" s="121">
        <f>((7/30)/12)</f>
        <v>1.9444444444444445E-2</v>
      </c>
      <c r="D60" s="122">
        <f>$D$23*C60</f>
        <v>0</v>
      </c>
    </row>
    <row r="61" spans="1:4" ht="33" x14ac:dyDescent="0.25">
      <c r="A61" s="112" t="s">
        <v>225</v>
      </c>
      <c r="B61" s="125" t="s">
        <v>290</v>
      </c>
      <c r="C61" s="121">
        <f>C60*C40</f>
        <v>7.1555555555555565E-3</v>
      </c>
      <c r="D61" s="122">
        <f t="shared" ref="D61:D62" si="2">$D$23*C61</f>
        <v>0</v>
      </c>
    </row>
    <row r="62" spans="1:4" ht="33" x14ac:dyDescent="0.25">
      <c r="A62" s="112" t="s">
        <v>226</v>
      </c>
      <c r="B62" s="124" t="s">
        <v>291</v>
      </c>
      <c r="C62" s="121">
        <f>(0.0194*0.08)*0.4</f>
        <v>6.2080000000000002E-4</v>
      </c>
      <c r="D62" s="122">
        <f t="shared" si="2"/>
        <v>0</v>
      </c>
    </row>
    <row r="63" spans="1:4" x14ac:dyDescent="0.25">
      <c r="A63" s="393" t="s">
        <v>292</v>
      </c>
      <c r="B63" s="394"/>
      <c r="C63" s="394"/>
      <c r="D63" s="123">
        <f>SUM(D60:D62)</f>
        <v>0</v>
      </c>
    </row>
    <row r="64" spans="1:4" x14ac:dyDescent="0.25">
      <c r="A64" s="393" t="s">
        <v>293</v>
      </c>
      <c r="B64" s="394"/>
      <c r="C64" s="394"/>
      <c r="D64" s="114" t="s">
        <v>245</v>
      </c>
    </row>
    <row r="65" spans="1:4" x14ac:dyDescent="0.25">
      <c r="A65" s="112" t="s">
        <v>281</v>
      </c>
      <c r="B65" s="340" t="s">
        <v>282</v>
      </c>
      <c r="C65" s="341"/>
      <c r="D65" s="122">
        <f>D58</f>
        <v>0</v>
      </c>
    </row>
    <row r="66" spans="1:4" x14ac:dyDescent="0.25">
      <c r="A66" s="112" t="s">
        <v>287</v>
      </c>
      <c r="B66" s="340" t="s">
        <v>288</v>
      </c>
      <c r="C66" s="341"/>
      <c r="D66" s="122">
        <f>D63</f>
        <v>0</v>
      </c>
    </row>
    <row r="67" spans="1:4" ht="30" customHeight="1" thickBot="1" x14ac:dyDescent="0.3">
      <c r="A67" s="338" t="s">
        <v>279</v>
      </c>
      <c r="B67" s="339"/>
      <c r="C67" s="339"/>
      <c r="D67" s="126">
        <f>SUM(D65:D66)</f>
        <v>0</v>
      </c>
    </row>
    <row r="68" spans="1:4" ht="5.0999999999999996" customHeight="1" thickBot="1" x14ac:dyDescent="0.3">
      <c r="B68" s="83"/>
      <c r="C68" s="83"/>
      <c r="D68" s="127"/>
    </row>
    <row r="69" spans="1:4" ht="30" customHeight="1" x14ac:dyDescent="0.25">
      <c r="A69" s="352" t="s">
        <v>294</v>
      </c>
      <c r="B69" s="353"/>
      <c r="C69" s="353"/>
      <c r="D69" s="354"/>
    </row>
    <row r="70" spans="1:4" x14ac:dyDescent="0.25">
      <c r="A70" s="128" t="s">
        <v>295</v>
      </c>
      <c r="B70" s="129" t="s">
        <v>296</v>
      </c>
      <c r="C70" s="129" t="s">
        <v>333</v>
      </c>
      <c r="D70" s="130" t="s">
        <v>245</v>
      </c>
    </row>
    <row r="71" spans="1:4" x14ac:dyDescent="0.25">
      <c r="A71" s="131" t="s">
        <v>223</v>
      </c>
      <c r="B71" s="132" t="s">
        <v>297</v>
      </c>
      <c r="C71" s="133">
        <v>8.3299999999999999E-2</v>
      </c>
      <c r="D71" s="134">
        <f>($D$23+$D$51+$D$67)*C71</f>
        <v>0</v>
      </c>
    </row>
    <row r="72" spans="1:4" x14ac:dyDescent="0.25">
      <c r="A72" s="128" t="s">
        <v>225</v>
      </c>
      <c r="B72" s="135" t="s">
        <v>298</v>
      </c>
      <c r="C72" s="136">
        <v>9.9000000000000008E-3</v>
      </c>
      <c r="D72" s="137">
        <f t="shared" ref="D72:D75" si="3">($D$23+$D$51+$D$67)*C72</f>
        <v>0</v>
      </c>
    </row>
    <row r="73" spans="1:4" x14ac:dyDescent="0.25">
      <c r="A73" s="128" t="s">
        <v>226</v>
      </c>
      <c r="B73" s="135" t="s">
        <v>299</v>
      </c>
      <c r="C73" s="136">
        <v>2.0000000000000001E-4</v>
      </c>
      <c r="D73" s="137">
        <f t="shared" si="3"/>
        <v>0</v>
      </c>
    </row>
    <row r="74" spans="1:4" x14ac:dyDescent="0.25">
      <c r="A74" s="128" t="s">
        <v>228</v>
      </c>
      <c r="B74" s="135" t="s">
        <v>300</v>
      </c>
      <c r="C74" s="136">
        <v>8.3000000000000001E-3</v>
      </c>
      <c r="D74" s="137">
        <f t="shared" si="3"/>
        <v>0</v>
      </c>
    </row>
    <row r="75" spans="1:4" ht="33" x14ac:dyDescent="0.25">
      <c r="A75" s="128" t="s">
        <v>263</v>
      </c>
      <c r="B75" s="138" t="s">
        <v>301</v>
      </c>
      <c r="C75" s="136">
        <v>6.9999999999999999E-4</v>
      </c>
      <c r="D75" s="137">
        <f t="shared" si="3"/>
        <v>0</v>
      </c>
    </row>
    <row r="76" spans="1:4" x14ac:dyDescent="0.25">
      <c r="A76" s="128" t="s">
        <v>265</v>
      </c>
      <c r="B76" s="135" t="s">
        <v>302</v>
      </c>
      <c r="C76" s="139">
        <v>1.3899999999999999E-2</v>
      </c>
      <c r="D76" s="137">
        <f>D21*C76</f>
        <v>0</v>
      </c>
    </row>
    <row r="77" spans="1:4" x14ac:dyDescent="0.25">
      <c r="A77" s="128" t="s">
        <v>267</v>
      </c>
      <c r="B77" s="140" t="s">
        <v>303</v>
      </c>
      <c r="C77" s="136">
        <v>0</v>
      </c>
      <c r="D77" s="141">
        <f>($D$23+$D$51+$D$67)*C77</f>
        <v>0</v>
      </c>
    </row>
    <row r="78" spans="1:4" x14ac:dyDescent="0.25">
      <c r="A78" s="350" t="s">
        <v>304</v>
      </c>
      <c r="B78" s="351"/>
      <c r="C78" s="142">
        <f>SUM(C71:C77)</f>
        <v>0.11630000000000001</v>
      </c>
      <c r="D78" s="143">
        <f>SUM(D71:D77)</f>
        <v>0</v>
      </c>
    </row>
    <row r="79" spans="1:4" ht="49.5" x14ac:dyDescent="0.25">
      <c r="A79" s="128" t="s">
        <v>269</v>
      </c>
      <c r="B79" s="138" t="s">
        <v>305</v>
      </c>
      <c r="C79" s="136">
        <f>(0.1163-0.0099)*((1/12)+(1/12)+(1/12*1/3))</f>
        <v>2.0688888888888885E-2</v>
      </c>
      <c r="D79" s="137">
        <f>D78*C79</f>
        <v>0</v>
      </c>
    </row>
    <row r="80" spans="1:4" ht="33" x14ac:dyDescent="0.25">
      <c r="A80" s="128" t="s">
        <v>306</v>
      </c>
      <c r="B80" s="135" t="s">
        <v>307</v>
      </c>
      <c r="C80" s="136">
        <f>C40*C78</f>
        <v>4.2798400000000014E-2</v>
      </c>
      <c r="D80" s="137">
        <f>D78*C80</f>
        <v>0</v>
      </c>
    </row>
    <row r="81" spans="1:4" x14ac:dyDescent="0.25">
      <c r="A81" s="350" t="s">
        <v>308</v>
      </c>
      <c r="B81" s="351"/>
      <c r="C81" s="351"/>
      <c r="D81" s="144">
        <f>SUM(D78:D80)</f>
        <v>0</v>
      </c>
    </row>
    <row r="82" spans="1:4" x14ac:dyDescent="0.25">
      <c r="A82" s="350" t="s">
        <v>309</v>
      </c>
      <c r="B82" s="351"/>
      <c r="C82" s="351"/>
      <c r="D82" s="130" t="s">
        <v>245</v>
      </c>
    </row>
    <row r="83" spans="1:4" x14ac:dyDescent="0.25">
      <c r="A83" s="128" t="s">
        <v>295</v>
      </c>
      <c r="B83" s="377" t="s">
        <v>296</v>
      </c>
      <c r="C83" s="378"/>
      <c r="D83" s="145">
        <f>D81</f>
        <v>0</v>
      </c>
    </row>
    <row r="84" spans="1:4" ht="30" customHeight="1" thickBot="1" x14ac:dyDescent="0.3">
      <c r="A84" s="367" t="s">
        <v>279</v>
      </c>
      <c r="B84" s="368"/>
      <c r="C84" s="368"/>
      <c r="D84" s="146">
        <f>D83</f>
        <v>0</v>
      </c>
    </row>
    <row r="85" spans="1:4" ht="5.0999999999999996" customHeight="1" thickBot="1" x14ac:dyDescent="0.3">
      <c r="A85" s="85"/>
      <c r="B85" s="85"/>
      <c r="C85" s="85"/>
    </row>
    <row r="86" spans="1:4" ht="30" customHeight="1" x14ac:dyDescent="0.25">
      <c r="A86" s="369" t="s">
        <v>310</v>
      </c>
      <c r="B86" s="370"/>
      <c r="C86" s="370"/>
      <c r="D86" s="371"/>
    </row>
    <row r="87" spans="1:4" x14ac:dyDescent="0.25">
      <c r="A87" s="147">
        <v>5</v>
      </c>
      <c r="B87" s="383" t="s">
        <v>311</v>
      </c>
      <c r="C87" s="383"/>
      <c r="D87" s="148" t="s">
        <v>245</v>
      </c>
    </row>
    <row r="88" spans="1:4" x14ac:dyDescent="0.25">
      <c r="A88" s="149" t="s">
        <v>223</v>
      </c>
      <c r="B88" s="384" t="s">
        <v>334</v>
      </c>
      <c r="C88" s="385"/>
      <c r="D88" s="150">
        <f>EPI!H9</f>
        <v>0</v>
      </c>
    </row>
    <row r="89" spans="1:4" x14ac:dyDescent="0.25">
      <c r="A89" s="147" t="s">
        <v>225</v>
      </c>
      <c r="B89" s="348" t="s">
        <v>312</v>
      </c>
      <c r="C89" s="349"/>
      <c r="D89" s="151">
        <f>UNIF!E12</f>
        <v>0</v>
      </c>
    </row>
    <row r="90" spans="1:4" x14ac:dyDescent="0.25">
      <c r="A90" s="147" t="s">
        <v>226</v>
      </c>
      <c r="B90" s="348" t="s">
        <v>313</v>
      </c>
      <c r="C90" s="349"/>
      <c r="D90" s="151">
        <f>MAT_COPEI!H31</f>
        <v>0</v>
      </c>
    </row>
    <row r="91" spans="1:4" x14ac:dyDescent="0.25">
      <c r="A91" s="147" t="s">
        <v>228</v>
      </c>
      <c r="B91" s="348" t="s">
        <v>314</v>
      </c>
      <c r="C91" s="349"/>
      <c r="D91" s="151">
        <f>EQUIP_FERR!F58</f>
        <v>0</v>
      </c>
    </row>
    <row r="92" spans="1:4" x14ac:dyDescent="0.25">
      <c r="A92" s="147" t="s">
        <v>263</v>
      </c>
      <c r="B92" s="348" t="s">
        <v>303</v>
      </c>
      <c r="C92" s="349"/>
      <c r="D92" s="151">
        <v>0</v>
      </c>
    </row>
    <row r="93" spans="1:4" ht="30" customHeight="1" thickBot="1" x14ac:dyDescent="0.3">
      <c r="A93" s="342" t="s">
        <v>335</v>
      </c>
      <c r="B93" s="343"/>
      <c r="C93" s="343"/>
      <c r="D93" s="152">
        <f>SUM(D88:D92)</f>
        <v>0</v>
      </c>
    </row>
    <row r="94" spans="1:4" ht="5.0999999999999996" customHeight="1" thickBot="1" x14ac:dyDescent="0.3">
      <c r="A94" s="85"/>
      <c r="B94" s="85"/>
      <c r="C94" s="85"/>
    </row>
    <row r="95" spans="1:4" ht="30" customHeight="1" x14ac:dyDescent="0.25">
      <c r="A95" s="372" t="s">
        <v>315</v>
      </c>
      <c r="B95" s="373"/>
      <c r="C95" s="373"/>
      <c r="D95" s="374"/>
    </row>
    <row r="96" spans="1:4" x14ac:dyDescent="0.25">
      <c r="A96" s="153">
        <v>6</v>
      </c>
      <c r="B96" s="154" t="s">
        <v>316</v>
      </c>
      <c r="C96" s="154" t="s">
        <v>252</v>
      </c>
      <c r="D96" s="155" t="s">
        <v>245</v>
      </c>
    </row>
    <row r="97" spans="1:5" x14ac:dyDescent="0.25">
      <c r="A97" s="156" t="s">
        <v>223</v>
      </c>
      <c r="B97" s="157" t="s">
        <v>317</v>
      </c>
      <c r="C97" s="158">
        <v>0.03</v>
      </c>
      <c r="D97" s="159">
        <f>D112*C97</f>
        <v>0</v>
      </c>
    </row>
    <row r="98" spans="1:5" x14ac:dyDescent="0.25">
      <c r="A98" s="379" t="s">
        <v>225</v>
      </c>
      <c r="B98" s="160" t="s">
        <v>318</v>
      </c>
      <c r="C98" s="161">
        <f>SUM(C99:C101)</f>
        <v>8.6499999999999994E-2</v>
      </c>
      <c r="D98" s="162">
        <f>SUM(D99:D101)</f>
        <v>0</v>
      </c>
    </row>
    <row r="99" spans="1:5" x14ac:dyDescent="0.25">
      <c r="A99" s="380"/>
      <c r="B99" s="163" t="s">
        <v>319</v>
      </c>
      <c r="C99" s="216">
        <v>6.4999999999999997E-3</v>
      </c>
      <c r="D99" s="164">
        <f>($D$112+$D$97+$D$102)*(C99)/(1-$C$98)</f>
        <v>0</v>
      </c>
      <c r="E99" s="165"/>
    </row>
    <row r="100" spans="1:5" x14ac:dyDescent="0.25">
      <c r="A100" s="380"/>
      <c r="B100" s="163" t="s">
        <v>320</v>
      </c>
      <c r="C100" s="216">
        <v>0.03</v>
      </c>
      <c r="D100" s="164">
        <f>($D$112+$D$97+$D$102)*(C100)/(1-$C$98)</f>
        <v>0</v>
      </c>
      <c r="E100" s="165"/>
    </row>
    <row r="101" spans="1:5" x14ac:dyDescent="0.25">
      <c r="A101" s="381"/>
      <c r="B101" s="163" t="s">
        <v>321</v>
      </c>
      <c r="C101" s="216">
        <v>0.05</v>
      </c>
      <c r="D101" s="164">
        <f>($D$112+$D$97+$D$102)*(C101)/(1-$C$98)</f>
        <v>0</v>
      </c>
      <c r="E101" s="165"/>
    </row>
    <row r="102" spans="1:5" x14ac:dyDescent="0.25">
      <c r="A102" s="153" t="s">
        <v>226</v>
      </c>
      <c r="B102" s="160" t="s">
        <v>322</v>
      </c>
      <c r="C102" s="158">
        <v>6.7900000000000002E-2</v>
      </c>
      <c r="D102" s="162">
        <f>(D112+D97)*C102</f>
        <v>0</v>
      </c>
    </row>
    <row r="103" spans="1:5" ht="30" customHeight="1" thickBot="1" x14ac:dyDescent="0.3">
      <c r="A103" s="375" t="s">
        <v>323</v>
      </c>
      <c r="B103" s="376"/>
      <c r="C103" s="166">
        <f>C97+C98+C102</f>
        <v>0.18440000000000001</v>
      </c>
      <c r="D103" s="167">
        <f>TRUNC((D97+D98+D102),2)</f>
        <v>0</v>
      </c>
    </row>
    <row r="104" spans="1:5" ht="5.0999999999999996" customHeight="1" thickBot="1" x14ac:dyDescent="0.3">
      <c r="A104" s="85"/>
      <c r="B104" s="85"/>
    </row>
    <row r="105" spans="1:5" ht="30" customHeight="1" x14ac:dyDescent="0.25">
      <c r="A105" s="334" t="s">
        <v>324</v>
      </c>
      <c r="B105" s="335"/>
      <c r="C105" s="335"/>
      <c r="D105" s="336"/>
    </row>
    <row r="106" spans="1:5" x14ac:dyDescent="0.25">
      <c r="A106" s="322" t="s">
        <v>325</v>
      </c>
      <c r="B106" s="252"/>
      <c r="C106" s="252"/>
      <c r="D106" s="79" t="s">
        <v>245</v>
      </c>
    </row>
    <row r="107" spans="1:5" x14ac:dyDescent="0.25">
      <c r="A107" s="168" t="s">
        <v>223</v>
      </c>
      <c r="B107" s="337" t="s">
        <v>243</v>
      </c>
      <c r="C107" s="337"/>
      <c r="D107" s="169">
        <f>$D$23</f>
        <v>0</v>
      </c>
    </row>
    <row r="108" spans="1:5" x14ac:dyDescent="0.25">
      <c r="A108" s="75" t="s">
        <v>225</v>
      </c>
      <c r="B108" s="333" t="s">
        <v>249</v>
      </c>
      <c r="C108" s="333"/>
      <c r="D108" s="170">
        <f>$D$51</f>
        <v>0</v>
      </c>
    </row>
    <row r="109" spans="1:5" x14ac:dyDescent="0.25">
      <c r="A109" s="75" t="s">
        <v>226</v>
      </c>
      <c r="B109" s="333" t="s">
        <v>280</v>
      </c>
      <c r="C109" s="333"/>
      <c r="D109" s="170">
        <f>$D$67</f>
        <v>0</v>
      </c>
    </row>
    <row r="110" spans="1:5" x14ac:dyDescent="0.25">
      <c r="A110" s="75" t="s">
        <v>228</v>
      </c>
      <c r="B110" s="333" t="s">
        <v>294</v>
      </c>
      <c r="C110" s="333"/>
      <c r="D110" s="170">
        <f>$D$84</f>
        <v>0</v>
      </c>
    </row>
    <row r="111" spans="1:5" x14ac:dyDescent="0.25">
      <c r="A111" s="75" t="s">
        <v>263</v>
      </c>
      <c r="B111" s="333" t="s">
        <v>310</v>
      </c>
      <c r="C111" s="333"/>
      <c r="D111" s="170">
        <f>$D$93</f>
        <v>0</v>
      </c>
    </row>
    <row r="112" spans="1:5" x14ac:dyDescent="0.25">
      <c r="A112" s="322" t="s">
        <v>326</v>
      </c>
      <c r="B112" s="252"/>
      <c r="C112" s="252"/>
      <c r="D112" s="171">
        <f>TRUNC(SUM(D107:D111),2)</f>
        <v>0</v>
      </c>
    </row>
    <row r="113" spans="1:4" x14ac:dyDescent="0.25">
      <c r="A113" s="75" t="s">
        <v>265</v>
      </c>
      <c r="B113" s="328" t="s">
        <v>315</v>
      </c>
      <c r="C113" s="329"/>
      <c r="D113" s="170">
        <f>D103</f>
        <v>0</v>
      </c>
    </row>
    <row r="114" spans="1:4" ht="30" customHeight="1" thickBot="1" x14ac:dyDescent="0.3">
      <c r="A114" s="355" t="s">
        <v>327</v>
      </c>
      <c r="B114" s="356"/>
      <c r="C114" s="356"/>
      <c r="D114" s="172">
        <f>D112+D113</f>
        <v>0</v>
      </c>
    </row>
  </sheetData>
  <mergeCells count="68">
    <mergeCell ref="B14:C14"/>
    <mergeCell ref="A1:D1"/>
    <mergeCell ref="A2:D2"/>
    <mergeCell ref="B3:C3"/>
    <mergeCell ref="B4:C4"/>
    <mergeCell ref="B5:C5"/>
    <mergeCell ref="B6:C6"/>
    <mergeCell ref="A7:D7"/>
    <mergeCell ref="A8:B8"/>
    <mergeCell ref="A9:B11"/>
    <mergeCell ref="A12:D12"/>
    <mergeCell ref="A13:D13"/>
    <mergeCell ref="B41:C41"/>
    <mergeCell ref="B15:C15"/>
    <mergeCell ref="B16:C16"/>
    <mergeCell ref="B17:C17"/>
    <mergeCell ref="A19:D19"/>
    <mergeCell ref="B20:C20"/>
    <mergeCell ref="B21:C21"/>
    <mergeCell ref="B22:C22"/>
    <mergeCell ref="A23:C23"/>
    <mergeCell ref="A25:D25"/>
    <mergeCell ref="A30:C30"/>
    <mergeCell ref="A40:B40"/>
    <mergeCell ref="A58:C58"/>
    <mergeCell ref="B42:C42"/>
    <mergeCell ref="B43:C43"/>
    <mergeCell ref="B44:C44"/>
    <mergeCell ref="B45:C45"/>
    <mergeCell ref="A46:C46"/>
    <mergeCell ref="A47:C47"/>
    <mergeCell ref="B48:C48"/>
    <mergeCell ref="B49:C49"/>
    <mergeCell ref="B50:C50"/>
    <mergeCell ref="A51:C51"/>
    <mergeCell ref="A53:D53"/>
    <mergeCell ref="A86:D86"/>
    <mergeCell ref="A63:C63"/>
    <mergeCell ref="A64:C64"/>
    <mergeCell ref="B65:C65"/>
    <mergeCell ref="B66:C66"/>
    <mergeCell ref="A67:C67"/>
    <mergeCell ref="A69:D69"/>
    <mergeCell ref="A78:B78"/>
    <mergeCell ref="A81:C81"/>
    <mergeCell ref="A82:C82"/>
    <mergeCell ref="B83:C83"/>
    <mergeCell ref="A84:C84"/>
    <mergeCell ref="A106:C106"/>
    <mergeCell ref="B87:C87"/>
    <mergeCell ref="B88:C88"/>
    <mergeCell ref="B89:C89"/>
    <mergeCell ref="B90:C90"/>
    <mergeCell ref="B91:C91"/>
    <mergeCell ref="B92:C92"/>
    <mergeCell ref="A93:C93"/>
    <mergeCell ref="A95:D95"/>
    <mergeCell ref="A98:A101"/>
    <mergeCell ref="A103:B103"/>
    <mergeCell ref="A105:D105"/>
    <mergeCell ref="B113:C113"/>
    <mergeCell ref="A114:C114"/>
    <mergeCell ref="B107:C107"/>
    <mergeCell ref="B108:C108"/>
    <mergeCell ref="B109:C109"/>
    <mergeCell ref="B110:C110"/>
    <mergeCell ref="B111:C111"/>
    <mergeCell ref="A112:C112"/>
  </mergeCells>
  <printOptions horizontalCentered="1"/>
  <pageMargins left="0.78740157480314965" right="0.78740157480314965" top="0.78740157480314965" bottom="0.59055118110236227" header="0.11811023622047245" footer="0.19685039370078741"/>
  <pageSetup paperSize="9" scale="99" orientation="landscape" r:id="rId1"/>
  <headerFooter>
    <oddHeader>&amp;C&amp;G</oddHeader>
    <oddFooter>&amp;CPLANILHA DE CUSTOS E FORMAÇÃO DE PREÇOS - COPEIRO</oddFooter>
  </headerFooter>
  <rowBreaks count="7" manualBreakCount="7">
    <brk id="18" max="16383" man="1"/>
    <brk id="24" max="16383" man="1"/>
    <brk id="52" max="16383" man="1"/>
    <brk id="68" max="16383" man="1"/>
    <brk id="85" max="16383" man="1"/>
    <brk id="94" max="16383" man="1"/>
    <brk id="104" max="16383" man="1"/>
  </rowBreaks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14"/>
  <sheetViews>
    <sheetView zoomScaleNormal="100" workbookViewId="0">
      <selection activeCell="N20" sqref="N20"/>
    </sheetView>
  </sheetViews>
  <sheetFormatPr defaultRowHeight="16.5" x14ac:dyDescent="0.25"/>
  <cols>
    <col min="1" max="1" width="4.7109375" style="83" customWidth="1"/>
    <col min="2" max="2" width="50.7109375" style="74" customWidth="1"/>
    <col min="3" max="4" width="25.7109375" style="74" customWidth="1"/>
    <col min="5" max="5" width="9.140625" style="74" customWidth="1"/>
    <col min="6" max="16384" width="9.140625" style="74"/>
  </cols>
  <sheetData>
    <row r="1" spans="1:5" ht="30" customHeight="1" x14ac:dyDescent="0.25">
      <c r="A1" s="319" t="s">
        <v>221</v>
      </c>
      <c r="B1" s="320"/>
      <c r="C1" s="320"/>
      <c r="D1" s="321"/>
      <c r="E1" s="73" t="s">
        <v>441</v>
      </c>
    </row>
    <row r="2" spans="1:5" x14ac:dyDescent="0.25">
      <c r="A2" s="322" t="s">
        <v>222</v>
      </c>
      <c r="B2" s="252"/>
      <c r="C2" s="252"/>
      <c r="D2" s="323"/>
    </row>
    <row r="3" spans="1:5" x14ac:dyDescent="0.25">
      <c r="A3" s="199" t="s">
        <v>223</v>
      </c>
      <c r="B3" s="328" t="s">
        <v>224</v>
      </c>
      <c r="C3" s="330"/>
      <c r="D3" s="221"/>
    </row>
    <row r="4" spans="1:5" x14ac:dyDescent="0.25">
      <c r="A4" s="199" t="s">
        <v>225</v>
      </c>
      <c r="B4" s="333" t="s">
        <v>339</v>
      </c>
      <c r="C4" s="328"/>
      <c r="D4" s="77" t="s">
        <v>340</v>
      </c>
    </row>
    <row r="5" spans="1:5" x14ac:dyDescent="0.25">
      <c r="A5" s="199" t="s">
        <v>226</v>
      </c>
      <c r="B5" s="328" t="s">
        <v>227</v>
      </c>
      <c r="C5" s="330"/>
      <c r="D5" s="77"/>
    </row>
    <row r="6" spans="1:5" x14ac:dyDescent="0.25">
      <c r="A6" s="199" t="s">
        <v>228</v>
      </c>
      <c r="B6" s="328" t="s">
        <v>229</v>
      </c>
      <c r="C6" s="330"/>
      <c r="D6" s="77"/>
    </row>
    <row r="7" spans="1:5" x14ac:dyDescent="0.25">
      <c r="A7" s="322" t="s">
        <v>230</v>
      </c>
      <c r="B7" s="252"/>
      <c r="C7" s="252"/>
      <c r="D7" s="324"/>
    </row>
    <row r="8" spans="1:5" x14ac:dyDescent="0.25">
      <c r="A8" s="357" t="s">
        <v>231</v>
      </c>
      <c r="B8" s="248"/>
      <c r="C8" s="200" t="s">
        <v>232</v>
      </c>
      <c r="D8" s="201" t="s">
        <v>328</v>
      </c>
    </row>
    <row r="9" spans="1:5" x14ac:dyDescent="0.25">
      <c r="A9" s="358" t="s">
        <v>343</v>
      </c>
      <c r="B9" s="359"/>
      <c r="C9" s="215" t="s">
        <v>234</v>
      </c>
      <c r="D9" s="77">
        <v>1</v>
      </c>
    </row>
    <row r="10" spans="1:5" x14ac:dyDescent="0.25">
      <c r="A10" s="360"/>
      <c r="B10" s="361"/>
      <c r="C10" s="215" t="s">
        <v>235</v>
      </c>
      <c r="D10" s="221" t="s">
        <v>338</v>
      </c>
    </row>
    <row r="11" spans="1:5" x14ac:dyDescent="0.25">
      <c r="A11" s="362"/>
      <c r="B11" s="363"/>
      <c r="C11" s="215" t="s">
        <v>236</v>
      </c>
      <c r="D11" s="77"/>
    </row>
    <row r="12" spans="1:5" x14ac:dyDescent="0.25">
      <c r="A12" s="322" t="s">
        <v>237</v>
      </c>
      <c r="B12" s="252"/>
      <c r="C12" s="252"/>
      <c r="D12" s="324"/>
    </row>
    <row r="13" spans="1:5" x14ac:dyDescent="0.25">
      <c r="A13" s="322" t="s">
        <v>238</v>
      </c>
      <c r="B13" s="252"/>
      <c r="C13" s="252"/>
      <c r="D13" s="324"/>
    </row>
    <row r="14" spans="1:5" x14ac:dyDescent="0.25">
      <c r="A14" s="199">
        <v>1</v>
      </c>
      <c r="B14" s="328" t="s">
        <v>231</v>
      </c>
      <c r="C14" s="330"/>
      <c r="D14" s="77" t="str">
        <f>A9</f>
        <v>Limpeza e conservação</v>
      </c>
    </row>
    <row r="15" spans="1:5" x14ac:dyDescent="0.25">
      <c r="A15" s="199">
        <v>2</v>
      </c>
      <c r="B15" s="328" t="s">
        <v>239</v>
      </c>
      <c r="C15" s="330"/>
      <c r="D15" s="170">
        <v>0</v>
      </c>
    </row>
    <row r="16" spans="1:5" x14ac:dyDescent="0.25">
      <c r="A16" s="199">
        <v>3</v>
      </c>
      <c r="B16" s="328" t="s">
        <v>240</v>
      </c>
      <c r="C16" s="330"/>
      <c r="D16" s="77" t="s">
        <v>344</v>
      </c>
    </row>
    <row r="17" spans="1:4" ht="17.25" thickBot="1" x14ac:dyDescent="0.3">
      <c r="A17" s="204">
        <v>4</v>
      </c>
      <c r="B17" s="331" t="s">
        <v>242</v>
      </c>
      <c r="C17" s="332"/>
      <c r="D17" s="222" t="s">
        <v>336</v>
      </c>
    </row>
    <row r="18" spans="1:4" ht="5.0999999999999996" customHeight="1" thickBot="1" x14ac:dyDescent="0.3">
      <c r="B18" s="84"/>
      <c r="C18" s="84"/>
      <c r="D18" s="85"/>
    </row>
    <row r="19" spans="1:4" ht="30" customHeight="1" x14ac:dyDescent="0.25">
      <c r="A19" s="325" t="s">
        <v>243</v>
      </c>
      <c r="B19" s="326"/>
      <c r="C19" s="326"/>
      <c r="D19" s="327"/>
    </row>
    <row r="20" spans="1:4" x14ac:dyDescent="0.25">
      <c r="A20" s="86">
        <v>1</v>
      </c>
      <c r="B20" s="364" t="s">
        <v>244</v>
      </c>
      <c r="C20" s="364"/>
      <c r="D20" s="87" t="s">
        <v>245</v>
      </c>
    </row>
    <row r="21" spans="1:4" x14ac:dyDescent="0.25">
      <c r="A21" s="88" t="s">
        <v>223</v>
      </c>
      <c r="B21" s="365" t="s">
        <v>246</v>
      </c>
      <c r="C21" s="395"/>
      <c r="D21" s="220">
        <f>D15</f>
        <v>0</v>
      </c>
    </row>
    <row r="22" spans="1:4" x14ac:dyDescent="0.25">
      <c r="A22" s="86" t="s">
        <v>225</v>
      </c>
      <c r="B22" s="317" t="s">
        <v>247</v>
      </c>
      <c r="C22" s="318"/>
      <c r="D22" s="220">
        <v>0</v>
      </c>
    </row>
    <row r="23" spans="1:4" ht="30" customHeight="1" thickBot="1" x14ac:dyDescent="0.3">
      <c r="A23" s="344" t="s">
        <v>248</v>
      </c>
      <c r="B23" s="345"/>
      <c r="C23" s="396"/>
      <c r="D23" s="223">
        <f>D21+D22</f>
        <v>0</v>
      </c>
    </row>
    <row r="24" spans="1:4" ht="5.0999999999999996" customHeight="1" thickBot="1" x14ac:dyDescent="0.3">
      <c r="A24" s="91"/>
      <c r="B24" s="91"/>
      <c r="C24" s="91"/>
      <c r="D24" s="92"/>
    </row>
    <row r="25" spans="1:4" ht="30" customHeight="1" x14ac:dyDescent="0.25">
      <c r="A25" s="314" t="s">
        <v>249</v>
      </c>
      <c r="B25" s="315"/>
      <c r="C25" s="315"/>
      <c r="D25" s="316"/>
    </row>
    <row r="26" spans="1:4" x14ac:dyDescent="0.25">
      <c r="A26" s="202" t="s">
        <v>250</v>
      </c>
      <c r="B26" s="93" t="s">
        <v>251</v>
      </c>
      <c r="C26" s="203" t="s">
        <v>252</v>
      </c>
      <c r="D26" s="94" t="s">
        <v>245</v>
      </c>
    </row>
    <row r="27" spans="1:4" x14ac:dyDescent="0.25">
      <c r="A27" s="95" t="s">
        <v>223</v>
      </c>
      <c r="B27" s="96" t="s">
        <v>253</v>
      </c>
      <c r="C27" s="97">
        <f>(1/12)</f>
        <v>8.3333333333333329E-2</v>
      </c>
      <c r="D27" s="98">
        <f>$D$23*C27</f>
        <v>0</v>
      </c>
    </row>
    <row r="28" spans="1:4" x14ac:dyDescent="0.25">
      <c r="A28" s="202" t="s">
        <v>225</v>
      </c>
      <c r="B28" s="99" t="s">
        <v>254</v>
      </c>
      <c r="C28" s="100">
        <f>(1/3)*(1/12)</f>
        <v>2.7777777777777776E-2</v>
      </c>
      <c r="D28" s="101">
        <f>D23*C28</f>
        <v>0</v>
      </c>
    </row>
    <row r="29" spans="1:4" x14ac:dyDescent="0.25">
      <c r="A29" s="202" t="s">
        <v>226</v>
      </c>
      <c r="B29" s="99" t="s">
        <v>255</v>
      </c>
      <c r="C29" s="100">
        <f>(1/12)</f>
        <v>8.3333333333333329E-2</v>
      </c>
      <c r="D29" s="101">
        <f>D23*C29</f>
        <v>0</v>
      </c>
    </row>
    <row r="30" spans="1:4" x14ac:dyDescent="0.25">
      <c r="A30" s="346" t="s">
        <v>256</v>
      </c>
      <c r="B30" s="347"/>
      <c r="C30" s="347"/>
      <c r="D30" s="102">
        <f>SUM(D27:D29)</f>
        <v>0</v>
      </c>
    </row>
    <row r="31" spans="1:4" x14ac:dyDescent="0.25">
      <c r="A31" s="202" t="s">
        <v>257</v>
      </c>
      <c r="B31" s="203" t="s">
        <v>258</v>
      </c>
      <c r="C31" s="203" t="s">
        <v>252</v>
      </c>
      <c r="D31" s="94" t="s">
        <v>245</v>
      </c>
    </row>
    <row r="32" spans="1:4" x14ac:dyDescent="0.25">
      <c r="A32" s="202" t="s">
        <v>223</v>
      </c>
      <c r="B32" s="104" t="s">
        <v>259</v>
      </c>
      <c r="C32" s="100">
        <v>0.2</v>
      </c>
      <c r="D32" s="105">
        <f>($D$23+$D$30)*C32</f>
        <v>0</v>
      </c>
    </row>
    <row r="33" spans="1:4" x14ac:dyDescent="0.25">
      <c r="A33" s="202" t="s">
        <v>225</v>
      </c>
      <c r="B33" s="104" t="s">
        <v>260</v>
      </c>
      <c r="C33" s="100">
        <v>2.5000000000000001E-2</v>
      </c>
      <c r="D33" s="105">
        <f t="shared" ref="D33:D39" si="0">($D$23+$D$30)*C33</f>
        <v>0</v>
      </c>
    </row>
    <row r="34" spans="1:4" x14ac:dyDescent="0.25">
      <c r="A34" s="202" t="s">
        <v>226</v>
      </c>
      <c r="B34" s="104" t="s">
        <v>261</v>
      </c>
      <c r="C34" s="100">
        <v>0.03</v>
      </c>
      <c r="D34" s="105">
        <f t="shared" si="0"/>
        <v>0</v>
      </c>
    </row>
    <row r="35" spans="1:4" x14ac:dyDescent="0.25">
      <c r="A35" s="202" t="s">
        <v>228</v>
      </c>
      <c r="B35" s="104" t="s">
        <v>262</v>
      </c>
      <c r="C35" s="100">
        <v>1.4999999999999999E-2</v>
      </c>
      <c r="D35" s="105">
        <f t="shared" si="0"/>
        <v>0</v>
      </c>
    </row>
    <row r="36" spans="1:4" x14ac:dyDescent="0.25">
      <c r="A36" s="202" t="s">
        <v>263</v>
      </c>
      <c r="B36" s="99" t="s">
        <v>264</v>
      </c>
      <c r="C36" s="100">
        <v>0.01</v>
      </c>
      <c r="D36" s="101">
        <f t="shared" si="0"/>
        <v>0</v>
      </c>
    </row>
    <row r="37" spans="1:4" x14ac:dyDescent="0.25">
      <c r="A37" s="202" t="s">
        <v>265</v>
      </c>
      <c r="B37" s="99" t="s">
        <v>266</v>
      </c>
      <c r="C37" s="100">
        <v>6.0000000000000001E-3</v>
      </c>
      <c r="D37" s="101">
        <f t="shared" si="0"/>
        <v>0</v>
      </c>
    </row>
    <row r="38" spans="1:4" x14ac:dyDescent="0.25">
      <c r="A38" s="202" t="s">
        <v>267</v>
      </c>
      <c r="B38" s="99" t="s">
        <v>268</v>
      </c>
      <c r="C38" s="100">
        <v>2E-3</v>
      </c>
      <c r="D38" s="101">
        <f t="shared" si="0"/>
        <v>0</v>
      </c>
    </row>
    <row r="39" spans="1:4" x14ac:dyDescent="0.25">
      <c r="A39" s="202" t="s">
        <v>269</v>
      </c>
      <c r="B39" s="99" t="s">
        <v>270</v>
      </c>
      <c r="C39" s="100">
        <v>0.08</v>
      </c>
      <c r="D39" s="101">
        <f t="shared" si="0"/>
        <v>0</v>
      </c>
    </row>
    <row r="40" spans="1:4" x14ac:dyDescent="0.25">
      <c r="A40" s="346" t="s">
        <v>271</v>
      </c>
      <c r="B40" s="347"/>
      <c r="C40" s="106">
        <f>SUM(C32:C39)</f>
        <v>0.36800000000000005</v>
      </c>
      <c r="D40" s="102">
        <f>SUM(D32:D39)</f>
        <v>0</v>
      </c>
    </row>
    <row r="41" spans="1:4" x14ac:dyDescent="0.25">
      <c r="A41" s="202" t="s">
        <v>272</v>
      </c>
      <c r="B41" s="347" t="s">
        <v>273</v>
      </c>
      <c r="C41" s="347"/>
      <c r="D41" s="94" t="s">
        <v>245</v>
      </c>
    </row>
    <row r="42" spans="1:4" x14ac:dyDescent="0.25">
      <c r="A42" s="202" t="s">
        <v>223</v>
      </c>
      <c r="B42" s="312" t="s">
        <v>274</v>
      </c>
      <c r="C42" s="313"/>
      <c r="D42" s="101">
        <f>BENEFICIOS!B13-(D21*6%)</f>
        <v>0</v>
      </c>
    </row>
    <row r="43" spans="1:4" x14ac:dyDescent="0.25">
      <c r="A43" s="202" t="s">
        <v>225</v>
      </c>
      <c r="B43" s="312" t="s">
        <v>275</v>
      </c>
      <c r="C43" s="382"/>
      <c r="D43" s="101">
        <f>BENEFICIOS!B8</f>
        <v>0</v>
      </c>
    </row>
    <row r="44" spans="1:4" x14ac:dyDescent="0.25">
      <c r="A44" s="202" t="s">
        <v>226</v>
      </c>
      <c r="B44" s="312" t="s">
        <v>276</v>
      </c>
      <c r="C44" s="382"/>
      <c r="D44" s="101">
        <v>0</v>
      </c>
    </row>
    <row r="45" spans="1:4" x14ac:dyDescent="0.25">
      <c r="A45" s="202" t="s">
        <v>228</v>
      </c>
      <c r="B45" s="312" t="s">
        <v>277</v>
      </c>
      <c r="C45" s="382"/>
      <c r="D45" s="101">
        <v>0</v>
      </c>
    </row>
    <row r="46" spans="1:4" x14ac:dyDescent="0.25">
      <c r="A46" s="346" t="s">
        <v>278</v>
      </c>
      <c r="B46" s="347"/>
      <c r="C46" s="347"/>
      <c r="D46" s="108">
        <f>SUM(D42:D45)</f>
        <v>0</v>
      </c>
    </row>
    <row r="47" spans="1:4" x14ac:dyDescent="0.25">
      <c r="A47" s="346" t="s">
        <v>372</v>
      </c>
      <c r="B47" s="347"/>
      <c r="C47" s="347"/>
      <c r="D47" s="94" t="s">
        <v>245</v>
      </c>
    </row>
    <row r="48" spans="1:4" x14ac:dyDescent="0.25">
      <c r="A48" s="202" t="s">
        <v>250</v>
      </c>
      <c r="B48" s="312" t="s">
        <v>251</v>
      </c>
      <c r="C48" s="313"/>
      <c r="D48" s="101">
        <f>D30</f>
        <v>0</v>
      </c>
    </row>
    <row r="49" spans="1:4" x14ac:dyDescent="0.25">
      <c r="A49" s="202" t="s">
        <v>257</v>
      </c>
      <c r="B49" s="312" t="s">
        <v>258</v>
      </c>
      <c r="C49" s="313"/>
      <c r="D49" s="101">
        <f>D40</f>
        <v>0</v>
      </c>
    </row>
    <row r="50" spans="1:4" x14ac:dyDescent="0.25">
      <c r="A50" s="202" t="s">
        <v>272</v>
      </c>
      <c r="B50" s="312" t="s">
        <v>273</v>
      </c>
      <c r="C50" s="313"/>
      <c r="D50" s="101">
        <f>D46</f>
        <v>0</v>
      </c>
    </row>
    <row r="51" spans="1:4" ht="30" customHeight="1" thickBot="1" x14ac:dyDescent="0.3">
      <c r="A51" s="386" t="s">
        <v>279</v>
      </c>
      <c r="B51" s="387"/>
      <c r="C51" s="387"/>
      <c r="D51" s="109">
        <f>SUM(D48:D50)</f>
        <v>0</v>
      </c>
    </row>
    <row r="52" spans="1:4" ht="5.0999999999999996" customHeight="1" thickBot="1" x14ac:dyDescent="0.3">
      <c r="A52" s="110"/>
      <c r="B52" s="110"/>
      <c r="C52" s="110"/>
      <c r="D52" s="111"/>
    </row>
    <row r="53" spans="1:4" ht="30" customHeight="1" x14ac:dyDescent="0.25">
      <c r="A53" s="388" t="s">
        <v>280</v>
      </c>
      <c r="B53" s="389"/>
      <c r="C53" s="389"/>
      <c r="D53" s="390"/>
    </row>
    <row r="54" spans="1:4" x14ac:dyDescent="0.25">
      <c r="A54" s="112" t="s">
        <v>281</v>
      </c>
      <c r="B54" s="113" t="s">
        <v>282</v>
      </c>
      <c r="C54" s="113" t="s">
        <v>252</v>
      </c>
      <c r="D54" s="114" t="s">
        <v>245</v>
      </c>
    </row>
    <row r="55" spans="1:4" x14ac:dyDescent="0.25">
      <c r="A55" s="115" t="s">
        <v>223</v>
      </c>
      <c r="B55" s="116" t="s">
        <v>283</v>
      </c>
      <c r="C55" s="117">
        <f>0.05*(1/12)</f>
        <v>4.1666666666666666E-3</v>
      </c>
      <c r="D55" s="118">
        <f>$D$23*C55</f>
        <v>0</v>
      </c>
    </row>
    <row r="56" spans="1:4" ht="33" x14ac:dyDescent="0.25">
      <c r="A56" s="119" t="s">
        <v>225</v>
      </c>
      <c r="B56" s="120" t="s">
        <v>284</v>
      </c>
      <c r="C56" s="121">
        <f>C55*0.08</f>
        <v>3.3333333333333332E-4</v>
      </c>
      <c r="D56" s="118">
        <f t="shared" ref="D56:D57" si="1">$D$23*C56</f>
        <v>0</v>
      </c>
    </row>
    <row r="57" spans="1:4" ht="33" x14ac:dyDescent="0.25">
      <c r="A57" s="119" t="s">
        <v>226</v>
      </c>
      <c r="B57" s="120" t="s">
        <v>285</v>
      </c>
      <c r="C57" s="121">
        <f>0.08*0.4*0.9*(1+1/12+1/12+(1/3*1/12))</f>
        <v>3.4399999999999993E-2</v>
      </c>
      <c r="D57" s="118">
        <f t="shared" si="1"/>
        <v>0</v>
      </c>
    </row>
    <row r="58" spans="1:4" x14ac:dyDescent="0.25">
      <c r="A58" s="391" t="s">
        <v>286</v>
      </c>
      <c r="B58" s="392"/>
      <c r="C58" s="392"/>
      <c r="D58" s="123">
        <f>SUM(D55:D57)</f>
        <v>0</v>
      </c>
    </row>
    <row r="59" spans="1:4" x14ac:dyDescent="0.25">
      <c r="A59" s="112" t="s">
        <v>287</v>
      </c>
      <c r="B59" s="113" t="s">
        <v>288</v>
      </c>
      <c r="C59" s="113" t="s">
        <v>252</v>
      </c>
      <c r="D59" s="114" t="s">
        <v>245</v>
      </c>
    </row>
    <row r="60" spans="1:4" x14ac:dyDescent="0.25">
      <c r="A60" s="112" t="s">
        <v>223</v>
      </c>
      <c r="B60" s="124" t="s">
        <v>289</v>
      </c>
      <c r="C60" s="121">
        <f>((7/30)/12)</f>
        <v>1.9444444444444445E-2</v>
      </c>
      <c r="D60" s="122">
        <f>$D$23*C60</f>
        <v>0</v>
      </c>
    </row>
    <row r="61" spans="1:4" ht="33" x14ac:dyDescent="0.25">
      <c r="A61" s="112" t="s">
        <v>225</v>
      </c>
      <c r="B61" s="125" t="s">
        <v>290</v>
      </c>
      <c r="C61" s="121">
        <f>C60*C40</f>
        <v>7.1555555555555565E-3</v>
      </c>
      <c r="D61" s="122">
        <f t="shared" ref="D61:D62" si="2">$D$23*C61</f>
        <v>0</v>
      </c>
    </row>
    <row r="62" spans="1:4" ht="33" x14ac:dyDescent="0.25">
      <c r="A62" s="112" t="s">
        <v>226</v>
      </c>
      <c r="B62" s="124" t="s">
        <v>291</v>
      </c>
      <c r="C62" s="121">
        <f>(0.0194*0.08)*0.4</f>
        <v>6.2080000000000002E-4</v>
      </c>
      <c r="D62" s="122">
        <f t="shared" si="2"/>
        <v>0</v>
      </c>
    </row>
    <row r="63" spans="1:4" x14ac:dyDescent="0.25">
      <c r="A63" s="393" t="s">
        <v>292</v>
      </c>
      <c r="B63" s="394"/>
      <c r="C63" s="394"/>
      <c r="D63" s="123">
        <f>SUM(D60:D62)</f>
        <v>0</v>
      </c>
    </row>
    <row r="64" spans="1:4" x14ac:dyDescent="0.25">
      <c r="A64" s="393" t="s">
        <v>293</v>
      </c>
      <c r="B64" s="394"/>
      <c r="C64" s="394"/>
      <c r="D64" s="114" t="s">
        <v>245</v>
      </c>
    </row>
    <row r="65" spans="1:4" x14ac:dyDescent="0.25">
      <c r="A65" s="112" t="s">
        <v>281</v>
      </c>
      <c r="B65" s="340" t="s">
        <v>282</v>
      </c>
      <c r="C65" s="341"/>
      <c r="D65" s="122">
        <f>D58</f>
        <v>0</v>
      </c>
    </row>
    <row r="66" spans="1:4" x14ac:dyDescent="0.25">
      <c r="A66" s="112" t="s">
        <v>287</v>
      </c>
      <c r="B66" s="340" t="s">
        <v>288</v>
      </c>
      <c r="C66" s="341"/>
      <c r="D66" s="122">
        <f>D63</f>
        <v>0</v>
      </c>
    </row>
    <row r="67" spans="1:4" ht="30" customHeight="1" thickBot="1" x14ac:dyDescent="0.3">
      <c r="A67" s="338" t="s">
        <v>279</v>
      </c>
      <c r="B67" s="339"/>
      <c r="C67" s="339"/>
      <c r="D67" s="126">
        <f>SUM(D65:D66)</f>
        <v>0</v>
      </c>
    </row>
    <row r="68" spans="1:4" ht="5.0999999999999996" customHeight="1" thickBot="1" x14ac:dyDescent="0.3">
      <c r="B68" s="83"/>
      <c r="C68" s="83"/>
      <c r="D68" s="127"/>
    </row>
    <row r="69" spans="1:4" ht="30" customHeight="1" x14ac:dyDescent="0.25">
      <c r="A69" s="352" t="s">
        <v>294</v>
      </c>
      <c r="B69" s="353"/>
      <c r="C69" s="353"/>
      <c r="D69" s="354"/>
    </row>
    <row r="70" spans="1:4" x14ac:dyDescent="0.25">
      <c r="A70" s="128" t="s">
        <v>295</v>
      </c>
      <c r="B70" s="129" t="s">
        <v>296</v>
      </c>
      <c r="C70" s="129" t="s">
        <v>333</v>
      </c>
      <c r="D70" s="130" t="s">
        <v>245</v>
      </c>
    </row>
    <row r="71" spans="1:4" x14ac:dyDescent="0.25">
      <c r="A71" s="131" t="s">
        <v>223</v>
      </c>
      <c r="B71" s="132" t="s">
        <v>297</v>
      </c>
      <c r="C71" s="133">
        <v>8.3299999999999999E-2</v>
      </c>
      <c r="D71" s="134">
        <f>($D$23+$D$51+$D$67)*C71</f>
        <v>0</v>
      </c>
    </row>
    <row r="72" spans="1:4" x14ac:dyDescent="0.25">
      <c r="A72" s="128" t="s">
        <v>225</v>
      </c>
      <c r="B72" s="135" t="s">
        <v>298</v>
      </c>
      <c r="C72" s="136">
        <v>9.9000000000000008E-3</v>
      </c>
      <c r="D72" s="137">
        <f t="shared" ref="D72:D75" si="3">($D$23+$D$51+$D$67)*C72</f>
        <v>0</v>
      </c>
    </row>
    <row r="73" spans="1:4" x14ac:dyDescent="0.25">
      <c r="A73" s="128" t="s">
        <v>226</v>
      </c>
      <c r="B73" s="135" t="s">
        <v>299</v>
      </c>
      <c r="C73" s="136">
        <v>2.0000000000000001E-4</v>
      </c>
      <c r="D73" s="137">
        <f t="shared" si="3"/>
        <v>0</v>
      </c>
    </row>
    <row r="74" spans="1:4" x14ac:dyDescent="0.25">
      <c r="A74" s="128" t="s">
        <v>228</v>
      </c>
      <c r="B74" s="135" t="s">
        <v>300</v>
      </c>
      <c r="C74" s="136">
        <v>8.3000000000000001E-3</v>
      </c>
      <c r="D74" s="137">
        <f>($D$23+$D$51+$D$67)*C74</f>
        <v>0</v>
      </c>
    </row>
    <row r="75" spans="1:4" ht="33" x14ac:dyDescent="0.25">
      <c r="A75" s="128" t="s">
        <v>263</v>
      </c>
      <c r="B75" s="217" t="s">
        <v>301</v>
      </c>
      <c r="C75" s="136">
        <v>6.9999999999999999E-4</v>
      </c>
      <c r="D75" s="141">
        <f t="shared" si="3"/>
        <v>0</v>
      </c>
    </row>
    <row r="76" spans="1:4" x14ac:dyDescent="0.25">
      <c r="A76" s="128" t="s">
        <v>265</v>
      </c>
      <c r="B76" s="140" t="s">
        <v>302</v>
      </c>
      <c r="C76" s="136">
        <v>1.3899999999999999E-2</v>
      </c>
      <c r="D76" s="141">
        <f>D21*C76</f>
        <v>0</v>
      </c>
    </row>
    <row r="77" spans="1:4" x14ac:dyDescent="0.25">
      <c r="A77" s="128" t="s">
        <v>267</v>
      </c>
      <c r="B77" s="140" t="s">
        <v>303</v>
      </c>
      <c r="C77" s="136">
        <v>0</v>
      </c>
      <c r="D77" s="141">
        <f>($D$23+$D$51+$D$67)*C77</f>
        <v>0</v>
      </c>
    </row>
    <row r="78" spans="1:4" x14ac:dyDescent="0.25">
      <c r="A78" s="350" t="s">
        <v>304</v>
      </c>
      <c r="B78" s="351"/>
      <c r="C78" s="142">
        <f>SUM(C71:C77)</f>
        <v>0.11630000000000001</v>
      </c>
      <c r="D78" s="143">
        <f>SUM(D71:D77)</f>
        <v>0</v>
      </c>
    </row>
    <row r="79" spans="1:4" ht="49.5" x14ac:dyDescent="0.25">
      <c r="A79" s="128" t="s">
        <v>269</v>
      </c>
      <c r="B79" s="138" t="s">
        <v>305</v>
      </c>
      <c r="C79" s="136">
        <f>(0.1163-0.0099)*((1/12)+(1/12)+(1/12*1/3))</f>
        <v>2.0688888888888885E-2</v>
      </c>
      <c r="D79" s="137">
        <f>D78*C79</f>
        <v>0</v>
      </c>
    </row>
    <row r="80" spans="1:4" ht="33" x14ac:dyDescent="0.25">
      <c r="A80" s="128" t="s">
        <v>306</v>
      </c>
      <c r="B80" s="135" t="s">
        <v>307</v>
      </c>
      <c r="C80" s="136">
        <f>C40*C78</f>
        <v>4.2798400000000014E-2</v>
      </c>
      <c r="D80" s="137">
        <f>D78*C80</f>
        <v>0</v>
      </c>
    </row>
    <row r="81" spans="1:4" x14ac:dyDescent="0.25">
      <c r="A81" s="350" t="s">
        <v>308</v>
      </c>
      <c r="B81" s="351"/>
      <c r="C81" s="351"/>
      <c r="D81" s="144">
        <f>SUM(D78:D80)</f>
        <v>0</v>
      </c>
    </row>
    <row r="82" spans="1:4" x14ac:dyDescent="0.25">
      <c r="A82" s="350" t="s">
        <v>309</v>
      </c>
      <c r="B82" s="351"/>
      <c r="C82" s="351"/>
      <c r="D82" s="130" t="s">
        <v>245</v>
      </c>
    </row>
    <row r="83" spans="1:4" x14ac:dyDescent="0.25">
      <c r="A83" s="128" t="s">
        <v>295</v>
      </c>
      <c r="B83" s="377" t="s">
        <v>296</v>
      </c>
      <c r="C83" s="378"/>
      <c r="D83" s="145">
        <f>D81</f>
        <v>0</v>
      </c>
    </row>
    <row r="84" spans="1:4" ht="30" customHeight="1" thickBot="1" x14ac:dyDescent="0.3">
      <c r="A84" s="367" t="s">
        <v>279</v>
      </c>
      <c r="B84" s="368"/>
      <c r="C84" s="368"/>
      <c r="D84" s="146">
        <f>D83</f>
        <v>0</v>
      </c>
    </row>
    <row r="85" spans="1:4" ht="5.0999999999999996" customHeight="1" thickBot="1" x14ac:dyDescent="0.3">
      <c r="A85" s="85"/>
      <c r="B85" s="85"/>
      <c r="C85" s="85"/>
    </row>
    <row r="86" spans="1:4" ht="30" customHeight="1" x14ac:dyDescent="0.25">
      <c r="A86" s="369" t="s">
        <v>310</v>
      </c>
      <c r="B86" s="370"/>
      <c r="C86" s="370"/>
      <c r="D86" s="371"/>
    </row>
    <row r="87" spans="1:4" x14ac:dyDescent="0.25">
      <c r="A87" s="147">
        <v>5</v>
      </c>
      <c r="B87" s="383" t="s">
        <v>311</v>
      </c>
      <c r="C87" s="383"/>
      <c r="D87" s="148" t="s">
        <v>245</v>
      </c>
    </row>
    <row r="88" spans="1:4" x14ac:dyDescent="0.25">
      <c r="A88" s="149" t="s">
        <v>223</v>
      </c>
      <c r="B88" s="384" t="s">
        <v>334</v>
      </c>
      <c r="C88" s="385"/>
      <c r="D88" s="150">
        <f>EPI!H9</f>
        <v>0</v>
      </c>
    </row>
    <row r="89" spans="1:4" x14ac:dyDescent="0.25">
      <c r="A89" s="147" t="s">
        <v>225</v>
      </c>
      <c r="B89" s="348" t="s">
        <v>312</v>
      </c>
      <c r="C89" s="349"/>
      <c r="D89" s="151">
        <f>UNIF!E24</f>
        <v>0</v>
      </c>
    </row>
    <row r="90" spans="1:4" x14ac:dyDescent="0.25">
      <c r="A90" s="147" t="s">
        <v>226</v>
      </c>
      <c r="B90" s="348" t="s">
        <v>313</v>
      </c>
      <c r="C90" s="349"/>
      <c r="D90" s="151">
        <f>MAT_LIMP!G67</f>
        <v>0</v>
      </c>
    </row>
    <row r="91" spans="1:4" x14ac:dyDescent="0.25">
      <c r="A91" s="147" t="s">
        <v>228</v>
      </c>
      <c r="B91" s="348" t="s">
        <v>314</v>
      </c>
      <c r="C91" s="349"/>
      <c r="D91" s="151">
        <f>EQUIP_FERR!F39</f>
        <v>0</v>
      </c>
    </row>
    <row r="92" spans="1:4" x14ac:dyDescent="0.25">
      <c r="A92" s="147" t="s">
        <v>263</v>
      </c>
      <c r="B92" s="348" t="s">
        <v>303</v>
      </c>
      <c r="C92" s="349"/>
      <c r="D92" s="151">
        <v>0</v>
      </c>
    </row>
    <row r="93" spans="1:4" ht="30" customHeight="1" thickBot="1" x14ac:dyDescent="0.3">
      <c r="A93" s="342" t="s">
        <v>335</v>
      </c>
      <c r="B93" s="343"/>
      <c r="C93" s="343"/>
      <c r="D93" s="152">
        <f>SUM(D88:D92)</f>
        <v>0</v>
      </c>
    </row>
    <row r="94" spans="1:4" ht="5.0999999999999996" customHeight="1" thickBot="1" x14ac:dyDescent="0.3">
      <c r="A94" s="85"/>
      <c r="B94" s="85"/>
      <c r="C94" s="85"/>
    </row>
    <row r="95" spans="1:4" ht="30" customHeight="1" x14ac:dyDescent="0.25">
      <c r="A95" s="372" t="s">
        <v>315</v>
      </c>
      <c r="B95" s="373"/>
      <c r="C95" s="373"/>
      <c r="D95" s="374"/>
    </row>
    <row r="96" spans="1:4" x14ac:dyDescent="0.25">
      <c r="A96" s="153">
        <v>6</v>
      </c>
      <c r="B96" s="154" t="s">
        <v>316</v>
      </c>
      <c r="C96" s="154" t="s">
        <v>252</v>
      </c>
      <c r="D96" s="155" t="s">
        <v>245</v>
      </c>
    </row>
    <row r="97" spans="1:5" x14ac:dyDescent="0.25">
      <c r="A97" s="156" t="s">
        <v>223</v>
      </c>
      <c r="B97" s="157" t="s">
        <v>317</v>
      </c>
      <c r="C97" s="158">
        <v>0.03</v>
      </c>
      <c r="D97" s="159">
        <f>D112*C97</f>
        <v>0</v>
      </c>
    </row>
    <row r="98" spans="1:5" x14ac:dyDescent="0.25">
      <c r="A98" s="379" t="s">
        <v>225</v>
      </c>
      <c r="B98" s="163" t="s">
        <v>318</v>
      </c>
      <c r="C98" s="216">
        <f>SUM(C99:C101)</f>
        <v>6.6500000000000004E-2</v>
      </c>
      <c r="D98" s="164">
        <f>SUM(D99:D101)</f>
        <v>0</v>
      </c>
    </row>
    <row r="99" spans="1:5" x14ac:dyDescent="0.25">
      <c r="A99" s="380"/>
      <c r="B99" s="163" t="s">
        <v>319</v>
      </c>
      <c r="C99" s="216">
        <v>6.4999999999999997E-3</v>
      </c>
      <c r="D99" s="164">
        <f>($D$112+$D$97+$D$102)*(C99)/(1-$C$98)</f>
        <v>0</v>
      </c>
      <c r="E99" s="165"/>
    </row>
    <row r="100" spans="1:5" x14ac:dyDescent="0.25">
      <c r="A100" s="380"/>
      <c r="B100" s="163" t="s">
        <v>320</v>
      </c>
      <c r="C100" s="216">
        <v>0.03</v>
      </c>
      <c r="D100" s="164">
        <f>($D$112+$D$97+$D$102)*(C100)/(1-$C$98)</f>
        <v>0</v>
      </c>
      <c r="E100" s="165"/>
    </row>
    <row r="101" spans="1:5" x14ac:dyDescent="0.25">
      <c r="A101" s="381"/>
      <c r="B101" s="163" t="s">
        <v>321</v>
      </c>
      <c r="C101" s="216">
        <v>0.03</v>
      </c>
      <c r="D101" s="164">
        <f>($D$112+$D$97+$D$102)*(C101)/(1-$C$98)</f>
        <v>0</v>
      </c>
      <c r="E101" s="165"/>
    </row>
    <row r="102" spans="1:5" x14ac:dyDescent="0.25">
      <c r="A102" s="153" t="s">
        <v>226</v>
      </c>
      <c r="B102" s="163" t="s">
        <v>322</v>
      </c>
      <c r="C102" s="216">
        <v>6.7900000000000002E-2</v>
      </c>
      <c r="D102" s="164">
        <f>(D112+D97)*C102</f>
        <v>0</v>
      </c>
    </row>
    <row r="103" spans="1:5" ht="30" customHeight="1" thickBot="1" x14ac:dyDescent="0.3">
      <c r="A103" s="375" t="s">
        <v>323</v>
      </c>
      <c r="B103" s="376"/>
      <c r="C103" s="166">
        <f>C97+C98+C102</f>
        <v>0.16439999999999999</v>
      </c>
      <c r="D103" s="167">
        <f>TRUNC((D97+D98+D102),2)</f>
        <v>0</v>
      </c>
    </row>
    <row r="104" spans="1:5" ht="5.0999999999999996" customHeight="1" thickBot="1" x14ac:dyDescent="0.3">
      <c r="A104" s="85"/>
      <c r="B104" s="85"/>
    </row>
    <row r="105" spans="1:5" ht="30" customHeight="1" x14ac:dyDescent="0.25">
      <c r="A105" s="334" t="s">
        <v>324</v>
      </c>
      <c r="B105" s="335"/>
      <c r="C105" s="335"/>
      <c r="D105" s="336"/>
    </row>
    <row r="106" spans="1:5" x14ac:dyDescent="0.25">
      <c r="A106" s="322" t="s">
        <v>325</v>
      </c>
      <c r="B106" s="252"/>
      <c r="C106" s="252"/>
      <c r="D106" s="79" t="s">
        <v>245</v>
      </c>
    </row>
    <row r="107" spans="1:5" x14ac:dyDescent="0.25">
      <c r="A107" s="168" t="s">
        <v>223</v>
      </c>
      <c r="B107" s="337" t="s">
        <v>243</v>
      </c>
      <c r="C107" s="337"/>
      <c r="D107" s="169">
        <f>$D$23</f>
        <v>0</v>
      </c>
    </row>
    <row r="108" spans="1:5" x14ac:dyDescent="0.25">
      <c r="A108" s="75" t="s">
        <v>225</v>
      </c>
      <c r="B108" s="333" t="s">
        <v>249</v>
      </c>
      <c r="C108" s="333"/>
      <c r="D108" s="170">
        <f>$D$51</f>
        <v>0</v>
      </c>
    </row>
    <row r="109" spans="1:5" x14ac:dyDescent="0.25">
      <c r="A109" s="75" t="s">
        <v>226</v>
      </c>
      <c r="B109" s="333" t="s">
        <v>280</v>
      </c>
      <c r="C109" s="333"/>
      <c r="D109" s="170">
        <f>$D$67</f>
        <v>0</v>
      </c>
    </row>
    <row r="110" spans="1:5" x14ac:dyDescent="0.25">
      <c r="A110" s="75" t="s">
        <v>228</v>
      </c>
      <c r="B110" s="333" t="s">
        <v>294</v>
      </c>
      <c r="C110" s="333"/>
      <c r="D110" s="170">
        <f>$D$84</f>
        <v>0</v>
      </c>
    </row>
    <row r="111" spans="1:5" x14ac:dyDescent="0.25">
      <c r="A111" s="75" t="s">
        <v>263</v>
      </c>
      <c r="B111" s="333" t="s">
        <v>310</v>
      </c>
      <c r="C111" s="333"/>
      <c r="D111" s="170">
        <f>$D$93</f>
        <v>0</v>
      </c>
    </row>
    <row r="112" spans="1:5" x14ac:dyDescent="0.25">
      <c r="A112" s="322" t="s">
        <v>326</v>
      </c>
      <c r="B112" s="252"/>
      <c r="C112" s="252"/>
      <c r="D112" s="171">
        <f>TRUNC(SUM(D107:D111),2)</f>
        <v>0</v>
      </c>
    </row>
    <row r="113" spans="1:4" x14ac:dyDescent="0.25">
      <c r="A113" s="75" t="s">
        <v>265</v>
      </c>
      <c r="B113" s="328" t="s">
        <v>315</v>
      </c>
      <c r="C113" s="329"/>
      <c r="D113" s="170">
        <f>D103</f>
        <v>0</v>
      </c>
    </row>
    <row r="114" spans="1:4" ht="30" customHeight="1" thickBot="1" x14ac:dyDescent="0.3">
      <c r="A114" s="355" t="s">
        <v>327</v>
      </c>
      <c r="B114" s="356"/>
      <c r="C114" s="356"/>
      <c r="D114" s="172">
        <f>D112+D113</f>
        <v>0</v>
      </c>
    </row>
  </sheetData>
  <mergeCells count="68">
    <mergeCell ref="B14:C14"/>
    <mergeCell ref="A1:D1"/>
    <mergeCell ref="A2:D2"/>
    <mergeCell ref="B3:C3"/>
    <mergeCell ref="B4:C4"/>
    <mergeCell ref="B5:C5"/>
    <mergeCell ref="B6:C6"/>
    <mergeCell ref="A7:D7"/>
    <mergeCell ref="A8:B8"/>
    <mergeCell ref="A9:B11"/>
    <mergeCell ref="A12:D12"/>
    <mergeCell ref="A13:D13"/>
    <mergeCell ref="B41:C41"/>
    <mergeCell ref="B15:C15"/>
    <mergeCell ref="B16:C16"/>
    <mergeCell ref="B17:C17"/>
    <mergeCell ref="A19:D19"/>
    <mergeCell ref="B20:C20"/>
    <mergeCell ref="B21:C21"/>
    <mergeCell ref="B22:C22"/>
    <mergeCell ref="A23:C23"/>
    <mergeCell ref="A25:D25"/>
    <mergeCell ref="A30:C30"/>
    <mergeCell ref="A40:B40"/>
    <mergeCell ref="A58:C58"/>
    <mergeCell ref="B42:C42"/>
    <mergeCell ref="B43:C43"/>
    <mergeCell ref="B44:C44"/>
    <mergeCell ref="B45:C45"/>
    <mergeCell ref="A46:C46"/>
    <mergeCell ref="A47:C47"/>
    <mergeCell ref="B48:C48"/>
    <mergeCell ref="B49:C49"/>
    <mergeCell ref="B50:C50"/>
    <mergeCell ref="A51:C51"/>
    <mergeCell ref="A53:D53"/>
    <mergeCell ref="A86:D86"/>
    <mergeCell ref="A63:C63"/>
    <mergeCell ref="A64:C64"/>
    <mergeCell ref="B65:C65"/>
    <mergeCell ref="B66:C66"/>
    <mergeCell ref="A67:C67"/>
    <mergeCell ref="A69:D69"/>
    <mergeCell ref="A78:B78"/>
    <mergeCell ref="A81:C81"/>
    <mergeCell ref="A82:C82"/>
    <mergeCell ref="B83:C83"/>
    <mergeCell ref="A84:C84"/>
    <mergeCell ref="A106:C106"/>
    <mergeCell ref="B87:C87"/>
    <mergeCell ref="B88:C88"/>
    <mergeCell ref="B89:C89"/>
    <mergeCell ref="B90:C90"/>
    <mergeCell ref="B91:C91"/>
    <mergeCell ref="B92:C92"/>
    <mergeCell ref="A93:C93"/>
    <mergeCell ref="A95:D95"/>
    <mergeCell ref="A98:A101"/>
    <mergeCell ref="A103:B103"/>
    <mergeCell ref="A105:D105"/>
    <mergeCell ref="B113:C113"/>
    <mergeCell ref="A114:C114"/>
    <mergeCell ref="B107:C107"/>
    <mergeCell ref="B108:C108"/>
    <mergeCell ref="B109:C109"/>
    <mergeCell ref="B110:C110"/>
    <mergeCell ref="B111:C111"/>
    <mergeCell ref="A112:C112"/>
  </mergeCells>
  <printOptions horizontalCentered="1"/>
  <pageMargins left="0.78740157480314965" right="0.78740157480314965" top="0.78740157480314965" bottom="0.59055118110236227" header="0.11811023622047245" footer="0.19685039370078741"/>
  <pageSetup paperSize="9" scale="99" orientation="landscape" r:id="rId1"/>
  <headerFooter>
    <oddHeader>&amp;C&amp;G</oddHeader>
    <oddFooter>&amp;CPLANILHA DE CUSTOS E FORMAÇÃO DE PREÇOS - AUXILIAR DE LIMPEZA</oddFooter>
  </headerFooter>
  <rowBreaks count="7" manualBreakCount="7">
    <brk id="18" max="16383" man="1"/>
    <brk id="24" max="16383" man="1"/>
    <brk id="52" max="16383" man="1"/>
    <brk id="68" max="16383" man="1"/>
    <brk id="85" max="16383" man="1"/>
    <brk id="94" max="16383" man="1"/>
    <brk id="104" max="16383" man="1"/>
  </rowBreaks>
  <legacy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15"/>
  <sheetViews>
    <sheetView zoomScaleNormal="100" workbookViewId="0">
      <selection activeCell="N20" sqref="N20"/>
    </sheetView>
  </sheetViews>
  <sheetFormatPr defaultRowHeight="16.5" x14ac:dyDescent="0.25"/>
  <cols>
    <col min="1" max="1" width="4.7109375" style="83" customWidth="1"/>
    <col min="2" max="2" width="50.7109375" style="74" customWidth="1"/>
    <col min="3" max="4" width="25.7109375" style="74" customWidth="1"/>
    <col min="5" max="5" width="9.140625" style="74" customWidth="1"/>
    <col min="6" max="16384" width="9.140625" style="74"/>
  </cols>
  <sheetData>
    <row r="1" spans="1:5" ht="30" customHeight="1" x14ac:dyDescent="0.25">
      <c r="A1" s="319" t="s">
        <v>221</v>
      </c>
      <c r="B1" s="320"/>
      <c r="C1" s="320"/>
      <c r="D1" s="321"/>
      <c r="E1" s="73" t="s">
        <v>441</v>
      </c>
    </row>
    <row r="2" spans="1:5" x14ac:dyDescent="0.25">
      <c r="A2" s="322" t="s">
        <v>222</v>
      </c>
      <c r="B2" s="252"/>
      <c r="C2" s="252"/>
      <c r="D2" s="323"/>
    </row>
    <row r="3" spans="1:5" x14ac:dyDescent="0.25">
      <c r="A3" s="199" t="s">
        <v>223</v>
      </c>
      <c r="B3" s="328" t="s">
        <v>224</v>
      </c>
      <c r="C3" s="330"/>
      <c r="D3" s="221"/>
    </row>
    <row r="4" spans="1:5" x14ac:dyDescent="0.25">
      <c r="A4" s="199" t="s">
        <v>225</v>
      </c>
      <c r="B4" s="333" t="s">
        <v>339</v>
      </c>
      <c r="C4" s="328"/>
      <c r="D4" s="77" t="s">
        <v>340</v>
      </c>
    </row>
    <row r="5" spans="1:5" x14ac:dyDescent="0.25">
      <c r="A5" s="199" t="s">
        <v>226</v>
      </c>
      <c r="B5" s="328" t="s">
        <v>227</v>
      </c>
      <c r="C5" s="330"/>
      <c r="D5" s="77"/>
    </row>
    <row r="6" spans="1:5" x14ac:dyDescent="0.25">
      <c r="A6" s="199" t="s">
        <v>228</v>
      </c>
      <c r="B6" s="328" t="s">
        <v>229</v>
      </c>
      <c r="C6" s="330"/>
      <c r="D6" s="77"/>
    </row>
    <row r="7" spans="1:5" x14ac:dyDescent="0.25">
      <c r="A7" s="322" t="s">
        <v>230</v>
      </c>
      <c r="B7" s="252"/>
      <c r="C7" s="252"/>
      <c r="D7" s="324"/>
    </row>
    <row r="8" spans="1:5" x14ac:dyDescent="0.25">
      <c r="A8" s="357" t="s">
        <v>231</v>
      </c>
      <c r="B8" s="248"/>
      <c r="C8" s="200" t="s">
        <v>232</v>
      </c>
      <c r="D8" s="201" t="s">
        <v>328</v>
      </c>
    </row>
    <row r="9" spans="1:5" x14ac:dyDescent="0.25">
      <c r="A9" s="358" t="s">
        <v>343</v>
      </c>
      <c r="B9" s="359"/>
      <c r="C9" s="215" t="s">
        <v>234</v>
      </c>
      <c r="D9" s="77">
        <v>1</v>
      </c>
    </row>
    <row r="10" spans="1:5" x14ac:dyDescent="0.25">
      <c r="A10" s="360"/>
      <c r="B10" s="361"/>
      <c r="C10" s="215" t="s">
        <v>235</v>
      </c>
      <c r="D10" s="221" t="s">
        <v>338</v>
      </c>
    </row>
    <row r="11" spans="1:5" x14ac:dyDescent="0.25">
      <c r="A11" s="362"/>
      <c r="B11" s="363"/>
      <c r="C11" s="80" t="s">
        <v>236</v>
      </c>
      <c r="D11" s="214"/>
    </row>
    <row r="12" spans="1:5" x14ac:dyDescent="0.25">
      <c r="A12" s="322" t="s">
        <v>237</v>
      </c>
      <c r="B12" s="252"/>
      <c r="C12" s="252"/>
      <c r="D12" s="324"/>
    </row>
    <row r="13" spans="1:5" x14ac:dyDescent="0.25">
      <c r="A13" s="322" t="s">
        <v>238</v>
      </c>
      <c r="B13" s="252"/>
      <c r="C13" s="252"/>
      <c r="D13" s="324"/>
    </row>
    <row r="14" spans="1:5" x14ac:dyDescent="0.25">
      <c r="A14" s="199">
        <v>1</v>
      </c>
      <c r="B14" s="328" t="s">
        <v>231</v>
      </c>
      <c r="C14" s="329"/>
      <c r="D14" s="81" t="str">
        <f>A9</f>
        <v>Limpeza e conservação</v>
      </c>
    </row>
    <row r="15" spans="1:5" x14ac:dyDescent="0.25">
      <c r="A15" s="199">
        <v>2</v>
      </c>
      <c r="B15" s="328" t="s">
        <v>239</v>
      </c>
      <c r="C15" s="330"/>
      <c r="D15" s="170">
        <v>0</v>
      </c>
    </row>
    <row r="16" spans="1:5" x14ac:dyDescent="0.25">
      <c r="A16" s="199">
        <v>3</v>
      </c>
      <c r="B16" s="328" t="s">
        <v>240</v>
      </c>
      <c r="C16" s="330"/>
      <c r="D16" s="77" t="s">
        <v>345</v>
      </c>
    </row>
    <row r="17" spans="1:4" ht="17.25" thickBot="1" x14ac:dyDescent="0.3">
      <c r="A17" s="204">
        <v>4</v>
      </c>
      <c r="B17" s="331" t="s">
        <v>242</v>
      </c>
      <c r="C17" s="332"/>
      <c r="D17" s="222" t="s">
        <v>336</v>
      </c>
    </row>
    <row r="18" spans="1:4" ht="5.0999999999999996" customHeight="1" thickBot="1" x14ac:dyDescent="0.3">
      <c r="B18" s="84"/>
      <c r="C18" s="84"/>
      <c r="D18" s="85"/>
    </row>
    <row r="19" spans="1:4" ht="30" customHeight="1" x14ac:dyDescent="0.25">
      <c r="A19" s="325" t="s">
        <v>243</v>
      </c>
      <c r="B19" s="326"/>
      <c r="C19" s="326"/>
      <c r="D19" s="327"/>
    </row>
    <row r="20" spans="1:4" x14ac:dyDescent="0.25">
      <c r="A20" s="86">
        <v>1</v>
      </c>
      <c r="B20" s="364" t="s">
        <v>244</v>
      </c>
      <c r="C20" s="364"/>
      <c r="D20" s="87" t="s">
        <v>245</v>
      </c>
    </row>
    <row r="21" spans="1:4" x14ac:dyDescent="0.25">
      <c r="A21" s="88" t="s">
        <v>223</v>
      </c>
      <c r="B21" s="365" t="s">
        <v>246</v>
      </c>
      <c r="C21" s="366"/>
      <c r="D21" s="89">
        <f>D15</f>
        <v>0</v>
      </c>
    </row>
    <row r="22" spans="1:4" x14ac:dyDescent="0.25">
      <c r="A22" s="86" t="s">
        <v>225</v>
      </c>
      <c r="B22" s="317" t="s">
        <v>247</v>
      </c>
      <c r="C22" s="318"/>
      <c r="D22" s="220">
        <v>0</v>
      </c>
    </row>
    <row r="23" spans="1:4" x14ac:dyDescent="0.25">
      <c r="A23" s="86" t="s">
        <v>226</v>
      </c>
      <c r="B23" s="317" t="s">
        <v>346</v>
      </c>
      <c r="C23" s="318"/>
      <c r="D23" s="220">
        <f>D21*25%</f>
        <v>0</v>
      </c>
    </row>
    <row r="24" spans="1:4" ht="30" customHeight="1" thickBot="1" x14ac:dyDescent="0.3">
      <c r="A24" s="344" t="s">
        <v>248</v>
      </c>
      <c r="B24" s="345"/>
      <c r="C24" s="345"/>
      <c r="D24" s="90">
        <f>SUM(D21:D23)</f>
        <v>0</v>
      </c>
    </row>
    <row r="25" spans="1:4" ht="5.0999999999999996" customHeight="1" thickBot="1" x14ac:dyDescent="0.3">
      <c r="A25" s="91"/>
      <c r="B25" s="91"/>
      <c r="C25" s="91"/>
      <c r="D25" s="92"/>
    </row>
    <row r="26" spans="1:4" ht="30" customHeight="1" x14ac:dyDescent="0.25">
      <c r="A26" s="314" t="s">
        <v>249</v>
      </c>
      <c r="B26" s="315"/>
      <c r="C26" s="315"/>
      <c r="D26" s="316"/>
    </row>
    <row r="27" spans="1:4" x14ac:dyDescent="0.25">
      <c r="A27" s="202" t="s">
        <v>250</v>
      </c>
      <c r="B27" s="93" t="s">
        <v>251</v>
      </c>
      <c r="C27" s="203" t="s">
        <v>252</v>
      </c>
      <c r="D27" s="94" t="s">
        <v>245</v>
      </c>
    </row>
    <row r="28" spans="1:4" x14ac:dyDescent="0.25">
      <c r="A28" s="95" t="s">
        <v>223</v>
      </c>
      <c r="B28" s="96" t="s">
        <v>253</v>
      </c>
      <c r="C28" s="97">
        <f>(1/12)</f>
        <v>8.3333333333333329E-2</v>
      </c>
      <c r="D28" s="98">
        <f>$D$24*C28</f>
        <v>0</v>
      </c>
    </row>
    <row r="29" spans="1:4" x14ac:dyDescent="0.25">
      <c r="A29" s="202" t="s">
        <v>225</v>
      </c>
      <c r="B29" s="99" t="s">
        <v>254</v>
      </c>
      <c r="C29" s="100">
        <f>(1/3)*(1/12)</f>
        <v>2.7777777777777776E-2</v>
      </c>
      <c r="D29" s="101">
        <f>D24*C29</f>
        <v>0</v>
      </c>
    </row>
    <row r="30" spans="1:4" x14ac:dyDescent="0.25">
      <c r="A30" s="202" t="s">
        <v>226</v>
      </c>
      <c r="B30" s="99" t="s">
        <v>255</v>
      </c>
      <c r="C30" s="100">
        <f>(1/12)</f>
        <v>8.3333333333333329E-2</v>
      </c>
      <c r="D30" s="101">
        <f>D24*C30</f>
        <v>0</v>
      </c>
    </row>
    <row r="31" spans="1:4" x14ac:dyDescent="0.25">
      <c r="A31" s="346" t="s">
        <v>256</v>
      </c>
      <c r="B31" s="347"/>
      <c r="C31" s="347"/>
      <c r="D31" s="102">
        <f>SUM(D28:D30)</f>
        <v>0</v>
      </c>
    </row>
    <row r="32" spans="1:4" x14ac:dyDescent="0.25">
      <c r="A32" s="202" t="s">
        <v>257</v>
      </c>
      <c r="B32" s="203" t="s">
        <v>258</v>
      </c>
      <c r="C32" s="203" t="s">
        <v>252</v>
      </c>
      <c r="D32" s="94" t="s">
        <v>245</v>
      </c>
    </row>
    <row r="33" spans="1:4" x14ac:dyDescent="0.25">
      <c r="A33" s="202" t="s">
        <v>223</v>
      </c>
      <c r="B33" s="99" t="s">
        <v>259</v>
      </c>
      <c r="C33" s="100">
        <v>0.2</v>
      </c>
      <c r="D33" s="101">
        <f>($D$24+$D$31)*C33</f>
        <v>0</v>
      </c>
    </row>
    <row r="34" spans="1:4" x14ac:dyDescent="0.25">
      <c r="A34" s="202" t="s">
        <v>225</v>
      </c>
      <c r="B34" s="104" t="s">
        <v>260</v>
      </c>
      <c r="C34" s="100">
        <v>2.5000000000000001E-2</v>
      </c>
      <c r="D34" s="105">
        <f t="shared" ref="D34:D40" si="0">($D$24+$D$31)*C34</f>
        <v>0</v>
      </c>
    </row>
    <row r="35" spans="1:4" x14ac:dyDescent="0.25">
      <c r="A35" s="202" t="s">
        <v>226</v>
      </c>
      <c r="B35" s="104" t="s">
        <v>261</v>
      </c>
      <c r="C35" s="100">
        <v>0.03</v>
      </c>
      <c r="D35" s="105">
        <f t="shared" si="0"/>
        <v>0</v>
      </c>
    </row>
    <row r="36" spans="1:4" x14ac:dyDescent="0.25">
      <c r="A36" s="202" t="s">
        <v>228</v>
      </c>
      <c r="B36" s="104" t="s">
        <v>262</v>
      </c>
      <c r="C36" s="100">
        <v>1.4999999999999999E-2</v>
      </c>
      <c r="D36" s="105">
        <f t="shared" si="0"/>
        <v>0</v>
      </c>
    </row>
    <row r="37" spans="1:4" x14ac:dyDescent="0.25">
      <c r="A37" s="202" t="s">
        <v>263</v>
      </c>
      <c r="B37" s="99" t="s">
        <v>264</v>
      </c>
      <c r="C37" s="100">
        <v>0.01</v>
      </c>
      <c r="D37" s="101">
        <f t="shared" si="0"/>
        <v>0</v>
      </c>
    </row>
    <row r="38" spans="1:4" x14ac:dyDescent="0.25">
      <c r="A38" s="202" t="s">
        <v>265</v>
      </c>
      <c r="B38" s="99" t="s">
        <v>266</v>
      </c>
      <c r="C38" s="100">
        <v>6.0000000000000001E-3</v>
      </c>
      <c r="D38" s="101">
        <f t="shared" si="0"/>
        <v>0</v>
      </c>
    </row>
    <row r="39" spans="1:4" x14ac:dyDescent="0.25">
      <c r="A39" s="202" t="s">
        <v>267</v>
      </c>
      <c r="B39" s="99" t="s">
        <v>268</v>
      </c>
      <c r="C39" s="100">
        <v>2E-3</v>
      </c>
      <c r="D39" s="101">
        <f t="shared" si="0"/>
        <v>0</v>
      </c>
    </row>
    <row r="40" spans="1:4" x14ac:dyDescent="0.25">
      <c r="A40" s="202" t="s">
        <v>269</v>
      </c>
      <c r="B40" s="99" t="s">
        <v>270</v>
      </c>
      <c r="C40" s="100">
        <v>0.08</v>
      </c>
      <c r="D40" s="101">
        <f t="shared" si="0"/>
        <v>0</v>
      </c>
    </row>
    <row r="41" spans="1:4" x14ac:dyDescent="0.25">
      <c r="A41" s="346" t="s">
        <v>271</v>
      </c>
      <c r="B41" s="347"/>
      <c r="C41" s="106">
        <f>SUM(C33:C40)</f>
        <v>0.36800000000000005</v>
      </c>
      <c r="D41" s="102">
        <f>SUM(D33:D40)</f>
        <v>0</v>
      </c>
    </row>
    <row r="42" spans="1:4" x14ac:dyDescent="0.25">
      <c r="A42" s="202" t="s">
        <v>272</v>
      </c>
      <c r="B42" s="347" t="s">
        <v>273</v>
      </c>
      <c r="C42" s="347"/>
      <c r="D42" s="94" t="s">
        <v>245</v>
      </c>
    </row>
    <row r="43" spans="1:4" x14ac:dyDescent="0.25">
      <c r="A43" s="202" t="s">
        <v>223</v>
      </c>
      <c r="B43" s="312" t="s">
        <v>274</v>
      </c>
      <c r="C43" s="313"/>
      <c r="D43" s="101">
        <f>BENEFICIOS!B13-(D21*6%)</f>
        <v>0</v>
      </c>
    </row>
    <row r="44" spans="1:4" x14ac:dyDescent="0.25">
      <c r="A44" s="202" t="s">
        <v>225</v>
      </c>
      <c r="B44" s="312" t="s">
        <v>275</v>
      </c>
      <c r="C44" s="313"/>
      <c r="D44" s="107">
        <f>BENEFICIOS!B8</f>
        <v>0</v>
      </c>
    </row>
    <row r="45" spans="1:4" x14ac:dyDescent="0.25">
      <c r="A45" s="202" t="s">
        <v>226</v>
      </c>
      <c r="B45" s="312" t="s">
        <v>276</v>
      </c>
      <c r="C45" s="382"/>
      <c r="D45" s="101">
        <v>0</v>
      </c>
    </row>
    <row r="46" spans="1:4" x14ac:dyDescent="0.25">
      <c r="A46" s="202" t="s">
        <v>228</v>
      </c>
      <c r="B46" s="312" t="s">
        <v>277</v>
      </c>
      <c r="C46" s="382"/>
      <c r="D46" s="101">
        <v>0</v>
      </c>
    </row>
    <row r="47" spans="1:4" x14ac:dyDescent="0.25">
      <c r="A47" s="346" t="s">
        <v>278</v>
      </c>
      <c r="B47" s="347"/>
      <c r="C47" s="347"/>
      <c r="D47" s="108">
        <f>SUM(D43:D46)</f>
        <v>0</v>
      </c>
    </row>
    <row r="48" spans="1:4" x14ac:dyDescent="0.25">
      <c r="A48" s="346" t="s">
        <v>372</v>
      </c>
      <c r="B48" s="347"/>
      <c r="C48" s="347"/>
      <c r="D48" s="94" t="s">
        <v>245</v>
      </c>
    </row>
    <row r="49" spans="1:4" x14ac:dyDescent="0.25">
      <c r="A49" s="202" t="s">
        <v>250</v>
      </c>
      <c r="B49" s="312" t="s">
        <v>251</v>
      </c>
      <c r="C49" s="313"/>
      <c r="D49" s="101">
        <f>D31</f>
        <v>0</v>
      </c>
    </row>
    <row r="50" spans="1:4" x14ac:dyDescent="0.25">
      <c r="A50" s="202" t="s">
        <v>257</v>
      </c>
      <c r="B50" s="312" t="s">
        <v>258</v>
      </c>
      <c r="C50" s="313"/>
      <c r="D50" s="101">
        <f>D41</f>
        <v>0</v>
      </c>
    </row>
    <row r="51" spans="1:4" x14ac:dyDescent="0.25">
      <c r="A51" s="202" t="s">
        <v>272</v>
      </c>
      <c r="B51" s="312" t="s">
        <v>273</v>
      </c>
      <c r="C51" s="313"/>
      <c r="D51" s="101">
        <f>D47</f>
        <v>0</v>
      </c>
    </row>
    <row r="52" spans="1:4" ht="30" customHeight="1" thickBot="1" x14ac:dyDescent="0.3">
      <c r="A52" s="386" t="s">
        <v>279</v>
      </c>
      <c r="B52" s="387"/>
      <c r="C52" s="387"/>
      <c r="D52" s="109">
        <f>SUM(D49:D51)</f>
        <v>0</v>
      </c>
    </row>
    <row r="53" spans="1:4" ht="5.0999999999999996" customHeight="1" thickBot="1" x14ac:dyDescent="0.3">
      <c r="A53" s="110"/>
      <c r="B53" s="110"/>
      <c r="C53" s="110"/>
      <c r="D53" s="111"/>
    </row>
    <row r="54" spans="1:4" ht="30" customHeight="1" x14ac:dyDescent="0.25">
      <c r="A54" s="388" t="s">
        <v>280</v>
      </c>
      <c r="B54" s="389"/>
      <c r="C54" s="389"/>
      <c r="D54" s="390"/>
    </row>
    <row r="55" spans="1:4" x14ac:dyDescent="0.25">
      <c r="A55" s="112" t="s">
        <v>281</v>
      </c>
      <c r="B55" s="113" t="s">
        <v>282</v>
      </c>
      <c r="C55" s="113" t="s">
        <v>252</v>
      </c>
      <c r="D55" s="114" t="s">
        <v>245</v>
      </c>
    </row>
    <row r="56" spans="1:4" x14ac:dyDescent="0.25">
      <c r="A56" s="115" t="s">
        <v>223</v>
      </c>
      <c r="B56" s="116" t="s">
        <v>283</v>
      </c>
      <c r="C56" s="117">
        <f>0.05*(1/12)</f>
        <v>4.1666666666666666E-3</v>
      </c>
      <c r="D56" s="118">
        <f>$D$24*C56</f>
        <v>0</v>
      </c>
    </row>
    <row r="57" spans="1:4" ht="33" x14ac:dyDescent="0.25">
      <c r="A57" s="119" t="s">
        <v>225</v>
      </c>
      <c r="B57" s="120" t="s">
        <v>284</v>
      </c>
      <c r="C57" s="121">
        <f>C56*0.08</f>
        <v>3.3333333333333332E-4</v>
      </c>
      <c r="D57" s="118">
        <f t="shared" ref="D57" si="1">$D$24*C57</f>
        <v>0</v>
      </c>
    </row>
    <row r="58" spans="1:4" ht="33" x14ac:dyDescent="0.25">
      <c r="A58" s="119" t="s">
        <v>226</v>
      </c>
      <c r="B58" s="120" t="s">
        <v>285</v>
      </c>
      <c r="C58" s="121">
        <f>0.08*0.4*0.9*(1+1/12+1/12+(1/3*1/12))</f>
        <v>3.4399999999999993E-2</v>
      </c>
      <c r="D58" s="118">
        <f>$D$24*C58</f>
        <v>0</v>
      </c>
    </row>
    <row r="59" spans="1:4" x14ac:dyDescent="0.25">
      <c r="A59" s="391" t="s">
        <v>286</v>
      </c>
      <c r="B59" s="392"/>
      <c r="C59" s="392"/>
      <c r="D59" s="123">
        <f>SUM(D56:D58)</f>
        <v>0</v>
      </c>
    </row>
    <row r="60" spans="1:4" x14ac:dyDescent="0.25">
      <c r="A60" s="112" t="s">
        <v>287</v>
      </c>
      <c r="B60" s="113" t="s">
        <v>288</v>
      </c>
      <c r="C60" s="113" t="s">
        <v>252</v>
      </c>
      <c r="D60" s="114" t="s">
        <v>245</v>
      </c>
    </row>
    <row r="61" spans="1:4" x14ac:dyDescent="0.25">
      <c r="A61" s="112" t="s">
        <v>223</v>
      </c>
      <c r="B61" s="124" t="s">
        <v>289</v>
      </c>
      <c r="C61" s="121">
        <f>((7/30)/12)</f>
        <v>1.9444444444444445E-2</v>
      </c>
      <c r="D61" s="122">
        <f>$D$24*C61</f>
        <v>0</v>
      </c>
    </row>
    <row r="62" spans="1:4" ht="33" x14ac:dyDescent="0.25">
      <c r="A62" s="112" t="s">
        <v>225</v>
      </c>
      <c r="B62" s="125" t="s">
        <v>290</v>
      </c>
      <c r="C62" s="121">
        <f>C61*C41</f>
        <v>7.1555555555555565E-3</v>
      </c>
      <c r="D62" s="122">
        <f t="shared" ref="D62:D63" si="2">$D$24*C62</f>
        <v>0</v>
      </c>
    </row>
    <row r="63" spans="1:4" ht="33" x14ac:dyDescent="0.25">
      <c r="A63" s="112" t="s">
        <v>226</v>
      </c>
      <c r="B63" s="124" t="s">
        <v>291</v>
      </c>
      <c r="C63" s="121">
        <f>(0.0194*0.08)*0.4</f>
        <v>6.2080000000000002E-4</v>
      </c>
      <c r="D63" s="122">
        <f t="shared" si="2"/>
        <v>0</v>
      </c>
    </row>
    <row r="64" spans="1:4" x14ac:dyDescent="0.25">
      <c r="A64" s="393" t="s">
        <v>292</v>
      </c>
      <c r="B64" s="394"/>
      <c r="C64" s="394"/>
      <c r="D64" s="123">
        <f>SUM(D61:D63)</f>
        <v>0</v>
      </c>
    </row>
    <row r="65" spans="1:4" x14ac:dyDescent="0.25">
      <c r="A65" s="393" t="s">
        <v>293</v>
      </c>
      <c r="B65" s="394"/>
      <c r="C65" s="394"/>
      <c r="D65" s="114" t="s">
        <v>245</v>
      </c>
    </row>
    <row r="66" spans="1:4" x14ac:dyDescent="0.25">
      <c r="A66" s="112" t="s">
        <v>281</v>
      </c>
      <c r="B66" s="340" t="s">
        <v>282</v>
      </c>
      <c r="C66" s="341"/>
      <c r="D66" s="122">
        <f>D59</f>
        <v>0</v>
      </c>
    </row>
    <row r="67" spans="1:4" x14ac:dyDescent="0.25">
      <c r="A67" s="112" t="s">
        <v>287</v>
      </c>
      <c r="B67" s="340" t="s">
        <v>288</v>
      </c>
      <c r="C67" s="341"/>
      <c r="D67" s="122">
        <f>D64</f>
        <v>0</v>
      </c>
    </row>
    <row r="68" spans="1:4" ht="30" customHeight="1" thickBot="1" x14ac:dyDescent="0.3">
      <c r="A68" s="338" t="s">
        <v>279</v>
      </c>
      <c r="B68" s="339"/>
      <c r="C68" s="339"/>
      <c r="D68" s="126">
        <f>SUM(D66:D67)</f>
        <v>0</v>
      </c>
    </row>
    <row r="69" spans="1:4" ht="5.0999999999999996" customHeight="1" thickBot="1" x14ac:dyDescent="0.3">
      <c r="B69" s="83"/>
      <c r="C69" s="83"/>
      <c r="D69" s="127"/>
    </row>
    <row r="70" spans="1:4" ht="30" customHeight="1" x14ac:dyDescent="0.25">
      <c r="A70" s="352" t="s">
        <v>294</v>
      </c>
      <c r="B70" s="353"/>
      <c r="C70" s="353"/>
      <c r="D70" s="354"/>
    </row>
    <row r="71" spans="1:4" x14ac:dyDescent="0.25">
      <c r="A71" s="128" t="s">
        <v>295</v>
      </c>
      <c r="B71" s="129" t="s">
        <v>296</v>
      </c>
      <c r="C71" s="129" t="s">
        <v>333</v>
      </c>
      <c r="D71" s="130" t="s">
        <v>245</v>
      </c>
    </row>
    <row r="72" spans="1:4" x14ac:dyDescent="0.25">
      <c r="A72" s="131" t="s">
        <v>223</v>
      </c>
      <c r="B72" s="132" t="s">
        <v>297</v>
      </c>
      <c r="C72" s="133">
        <v>8.3299999999999999E-2</v>
      </c>
      <c r="D72" s="134">
        <f>($D$24+$D$52+$D$68)*C72</f>
        <v>0</v>
      </c>
    </row>
    <row r="73" spans="1:4" x14ac:dyDescent="0.25">
      <c r="A73" s="128" t="s">
        <v>225</v>
      </c>
      <c r="B73" s="135" t="s">
        <v>298</v>
      </c>
      <c r="C73" s="136">
        <v>9.9000000000000008E-3</v>
      </c>
      <c r="D73" s="137">
        <f t="shared" ref="D73:D76" si="3">($D$24+$D$52+$D$68)*C73</f>
        <v>0</v>
      </c>
    </row>
    <row r="74" spans="1:4" x14ac:dyDescent="0.25">
      <c r="A74" s="128" t="s">
        <v>226</v>
      </c>
      <c r="B74" s="135" t="s">
        <v>299</v>
      </c>
      <c r="C74" s="136">
        <v>2.0000000000000001E-4</v>
      </c>
      <c r="D74" s="137">
        <f t="shared" si="3"/>
        <v>0</v>
      </c>
    </row>
    <row r="75" spans="1:4" x14ac:dyDescent="0.25">
      <c r="A75" s="128" t="s">
        <v>228</v>
      </c>
      <c r="B75" s="135" t="s">
        <v>300</v>
      </c>
      <c r="C75" s="136">
        <v>8.3000000000000001E-3</v>
      </c>
      <c r="D75" s="137">
        <f>($D$24+$D$52+$D$68)*C75</f>
        <v>0</v>
      </c>
    </row>
    <row r="76" spans="1:4" ht="33" x14ac:dyDescent="0.25">
      <c r="A76" s="128" t="s">
        <v>263</v>
      </c>
      <c r="B76" s="138" t="s">
        <v>301</v>
      </c>
      <c r="C76" s="136">
        <v>6.9999999999999999E-4</v>
      </c>
      <c r="D76" s="137">
        <f t="shared" si="3"/>
        <v>0</v>
      </c>
    </row>
    <row r="77" spans="1:4" x14ac:dyDescent="0.25">
      <c r="A77" s="128" t="s">
        <v>265</v>
      </c>
      <c r="B77" s="140" t="s">
        <v>302</v>
      </c>
      <c r="C77" s="136">
        <v>1.3899999999999999E-2</v>
      </c>
      <c r="D77" s="141">
        <f>D21*C77</f>
        <v>0</v>
      </c>
    </row>
    <row r="78" spans="1:4" x14ac:dyDescent="0.25">
      <c r="A78" s="128" t="s">
        <v>267</v>
      </c>
      <c r="B78" s="140" t="s">
        <v>303</v>
      </c>
      <c r="C78" s="136">
        <v>0</v>
      </c>
      <c r="D78" s="141">
        <f>($D$24+$D$52+$D$68)*C78</f>
        <v>0</v>
      </c>
    </row>
    <row r="79" spans="1:4" x14ac:dyDescent="0.25">
      <c r="A79" s="350" t="s">
        <v>304</v>
      </c>
      <c r="B79" s="397"/>
      <c r="C79" s="219">
        <f>SUM(C72:C78)</f>
        <v>0.11630000000000001</v>
      </c>
      <c r="D79" s="218">
        <f>SUM(D72:D78)</f>
        <v>0</v>
      </c>
    </row>
    <row r="80" spans="1:4" ht="51.75" customHeight="1" x14ac:dyDescent="0.25">
      <c r="A80" s="128" t="s">
        <v>269</v>
      </c>
      <c r="B80" s="217" t="s">
        <v>305</v>
      </c>
      <c r="C80" s="136">
        <f>(0.1163-0.0099)*((1/12)+(1/12)+(1/12*1/3))</f>
        <v>2.0688888888888885E-2</v>
      </c>
      <c r="D80" s="141">
        <f>D79*C80</f>
        <v>0</v>
      </c>
    </row>
    <row r="81" spans="1:4" ht="33" x14ac:dyDescent="0.25">
      <c r="A81" s="128" t="s">
        <v>306</v>
      </c>
      <c r="B81" s="135" t="s">
        <v>307</v>
      </c>
      <c r="C81" s="136">
        <f>C41*C79</f>
        <v>4.2798400000000014E-2</v>
      </c>
      <c r="D81" s="137">
        <f>D79*C81</f>
        <v>0</v>
      </c>
    </row>
    <row r="82" spans="1:4" x14ac:dyDescent="0.25">
      <c r="A82" s="350" t="s">
        <v>308</v>
      </c>
      <c r="B82" s="351"/>
      <c r="C82" s="351"/>
      <c r="D82" s="144">
        <f>SUM(D79:D81)</f>
        <v>0</v>
      </c>
    </row>
    <row r="83" spans="1:4" x14ac:dyDescent="0.25">
      <c r="A83" s="350" t="s">
        <v>309</v>
      </c>
      <c r="B83" s="351"/>
      <c r="C83" s="351"/>
      <c r="D83" s="130" t="s">
        <v>245</v>
      </c>
    </row>
    <row r="84" spans="1:4" x14ac:dyDescent="0.25">
      <c r="A84" s="128" t="s">
        <v>295</v>
      </c>
      <c r="B84" s="377" t="s">
        <v>296</v>
      </c>
      <c r="C84" s="378"/>
      <c r="D84" s="145">
        <f>D82</f>
        <v>0</v>
      </c>
    </row>
    <row r="85" spans="1:4" ht="30" customHeight="1" thickBot="1" x14ac:dyDescent="0.3">
      <c r="A85" s="367" t="s">
        <v>279</v>
      </c>
      <c r="B85" s="368"/>
      <c r="C85" s="368"/>
      <c r="D85" s="146">
        <f>D84</f>
        <v>0</v>
      </c>
    </row>
    <row r="86" spans="1:4" ht="5.0999999999999996" customHeight="1" thickBot="1" x14ac:dyDescent="0.3">
      <c r="A86" s="85"/>
      <c r="B86" s="85"/>
      <c r="C86" s="85"/>
    </row>
    <row r="87" spans="1:4" ht="30" customHeight="1" x14ac:dyDescent="0.25">
      <c r="A87" s="369" t="s">
        <v>310</v>
      </c>
      <c r="B87" s="370"/>
      <c r="C87" s="370"/>
      <c r="D87" s="371"/>
    </row>
    <row r="88" spans="1:4" x14ac:dyDescent="0.25">
      <c r="A88" s="147">
        <v>5</v>
      </c>
      <c r="B88" s="383" t="s">
        <v>311</v>
      </c>
      <c r="C88" s="383"/>
      <c r="D88" s="148" t="s">
        <v>245</v>
      </c>
    </row>
    <row r="89" spans="1:4" x14ac:dyDescent="0.25">
      <c r="A89" s="149" t="s">
        <v>223</v>
      </c>
      <c r="B89" s="384" t="s">
        <v>334</v>
      </c>
      <c r="C89" s="385"/>
      <c r="D89" s="150">
        <f>EPI!H9</f>
        <v>0</v>
      </c>
    </row>
    <row r="90" spans="1:4" x14ac:dyDescent="0.25">
      <c r="A90" s="147" t="s">
        <v>225</v>
      </c>
      <c r="B90" s="348" t="s">
        <v>312</v>
      </c>
      <c r="C90" s="349"/>
      <c r="D90" s="151">
        <f>UNIF!E24</f>
        <v>0</v>
      </c>
    </row>
    <row r="91" spans="1:4" x14ac:dyDescent="0.25">
      <c r="A91" s="147" t="s">
        <v>226</v>
      </c>
      <c r="B91" s="348" t="s">
        <v>313</v>
      </c>
      <c r="C91" s="349"/>
      <c r="D91" s="151">
        <v>0</v>
      </c>
    </row>
    <row r="92" spans="1:4" x14ac:dyDescent="0.25">
      <c r="A92" s="147" t="s">
        <v>228</v>
      </c>
      <c r="B92" s="348" t="s">
        <v>314</v>
      </c>
      <c r="C92" s="349"/>
      <c r="D92" s="151">
        <v>0</v>
      </c>
    </row>
    <row r="93" spans="1:4" x14ac:dyDescent="0.25">
      <c r="A93" s="147" t="s">
        <v>263</v>
      </c>
      <c r="B93" s="348" t="s">
        <v>303</v>
      </c>
      <c r="C93" s="349"/>
      <c r="D93" s="151">
        <v>0</v>
      </c>
    </row>
    <row r="94" spans="1:4" ht="30" customHeight="1" thickBot="1" x14ac:dyDescent="0.3">
      <c r="A94" s="342" t="s">
        <v>335</v>
      </c>
      <c r="B94" s="343"/>
      <c r="C94" s="343"/>
      <c r="D94" s="152">
        <f>SUM(D89:D93)</f>
        <v>0</v>
      </c>
    </row>
    <row r="95" spans="1:4" ht="5.0999999999999996" customHeight="1" thickBot="1" x14ac:dyDescent="0.3">
      <c r="A95" s="85"/>
      <c r="B95" s="85"/>
      <c r="C95" s="85"/>
    </row>
    <row r="96" spans="1:4" ht="30" customHeight="1" x14ac:dyDescent="0.25">
      <c r="A96" s="372" t="s">
        <v>315</v>
      </c>
      <c r="B96" s="373"/>
      <c r="C96" s="373"/>
      <c r="D96" s="374"/>
    </row>
    <row r="97" spans="1:5" x14ac:dyDescent="0.25">
      <c r="A97" s="153">
        <v>6</v>
      </c>
      <c r="B97" s="154" t="s">
        <v>316</v>
      </c>
      <c r="C97" s="154" t="s">
        <v>252</v>
      </c>
      <c r="D97" s="155" t="s">
        <v>245</v>
      </c>
    </row>
    <row r="98" spans="1:5" x14ac:dyDescent="0.25">
      <c r="A98" s="156" t="s">
        <v>223</v>
      </c>
      <c r="B98" s="157" t="s">
        <v>317</v>
      </c>
      <c r="C98" s="158">
        <v>0.03</v>
      </c>
      <c r="D98" s="159">
        <f>D113*C98</f>
        <v>0</v>
      </c>
    </row>
    <row r="99" spans="1:5" x14ac:dyDescent="0.25">
      <c r="A99" s="379" t="s">
        <v>225</v>
      </c>
      <c r="B99" s="163" t="s">
        <v>318</v>
      </c>
      <c r="C99" s="216">
        <f>SUM(C100:C102)</f>
        <v>6.6500000000000004E-2</v>
      </c>
      <c r="D99" s="164">
        <f>SUM(D100:D102)</f>
        <v>0</v>
      </c>
    </row>
    <row r="100" spans="1:5" x14ac:dyDescent="0.25">
      <c r="A100" s="380"/>
      <c r="B100" s="163" t="s">
        <v>319</v>
      </c>
      <c r="C100" s="216">
        <v>6.4999999999999997E-3</v>
      </c>
      <c r="D100" s="164">
        <f>($D$113+$D$98+$D$103)*(C100)/(1-$C$99)</f>
        <v>0</v>
      </c>
      <c r="E100" s="165"/>
    </row>
    <row r="101" spans="1:5" x14ac:dyDescent="0.25">
      <c r="A101" s="380"/>
      <c r="B101" s="163" t="s">
        <v>320</v>
      </c>
      <c r="C101" s="216">
        <v>0.03</v>
      </c>
      <c r="D101" s="164">
        <f>($D$113+$D$98+$D$103)*(C101)/(1-$C$99)</f>
        <v>0</v>
      </c>
      <c r="E101" s="165"/>
    </row>
    <row r="102" spans="1:5" x14ac:dyDescent="0.25">
      <c r="A102" s="381"/>
      <c r="B102" s="163" t="s">
        <v>321</v>
      </c>
      <c r="C102" s="216">
        <v>0.03</v>
      </c>
      <c r="D102" s="164">
        <f t="shared" ref="D102" si="4">($D$113+$D$98+$D$103)*(C102)/(1-$C$99)</f>
        <v>0</v>
      </c>
      <c r="E102" s="165"/>
    </row>
    <row r="103" spans="1:5" x14ac:dyDescent="0.25">
      <c r="A103" s="153" t="s">
        <v>226</v>
      </c>
      <c r="B103" s="160" t="s">
        <v>322</v>
      </c>
      <c r="C103" s="158">
        <v>6.7900000000000002E-2</v>
      </c>
      <c r="D103" s="162">
        <f>(D113+D98)*C103</f>
        <v>0</v>
      </c>
    </row>
    <row r="104" spans="1:5" ht="30" customHeight="1" thickBot="1" x14ac:dyDescent="0.3">
      <c r="A104" s="375" t="s">
        <v>323</v>
      </c>
      <c r="B104" s="376"/>
      <c r="C104" s="166">
        <f>C98+C99+C103</f>
        <v>0.16439999999999999</v>
      </c>
      <c r="D104" s="167">
        <f>TRUNC((D98+D99+D103),2)</f>
        <v>0</v>
      </c>
    </row>
    <row r="105" spans="1:5" ht="5.0999999999999996" customHeight="1" thickBot="1" x14ac:dyDescent="0.3">
      <c r="A105" s="85"/>
      <c r="B105" s="85"/>
    </row>
    <row r="106" spans="1:5" ht="30" customHeight="1" x14ac:dyDescent="0.25">
      <c r="A106" s="334" t="s">
        <v>324</v>
      </c>
      <c r="B106" s="335"/>
      <c r="C106" s="335"/>
      <c r="D106" s="336"/>
    </row>
    <row r="107" spans="1:5" x14ac:dyDescent="0.25">
      <c r="A107" s="322" t="s">
        <v>325</v>
      </c>
      <c r="B107" s="252"/>
      <c r="C107" s="252"/>
      <c r="D107" s="79" t="s">
        <v>245</v>
      </c>
    </row>
    <row r="108" spans="1:5" x14ac:dyDescent="0.25">
      <c r="A108" s="168" t="s">
        <v>223</v>
      </c>
      <c r="B108" s="337" t="s">
        <v>243</v>
      </c>
      <c r="C108" s="337"/>
      <c r="D108" s="169">
        <f>$D$24</f>
        <v>0</v>
      </c>
    </row>
    <row r="109" spans="1:5" x14ac:dyDescent="0.25">
      <c r="A109" s="75" t="s">
        <v>225</v>
      </c>
      <c r="B109" s="333" t="s">
        <v>249</v>
      </c>
      <c r="C109" s="333"/>
      <c r="D109" s="170">
        <f>$D$52</f>
        <v>0</v>
      </c>
    </row>
    <row r="110" spans="1:5" x14ac:dyDescent="0.25">
      <c r="A110" s="75" t="s">
        <v>226</v>
      </c>
      <c r="B110" s="333" t="s">
        <v>280</v>
      </c>
      <c r="C110" s="333"/>
      <c r="D110" s="170">
        <f>$D$68</f>
        <v>0</v>
      </c>
    </row>
    <row r="111" spans="1:5" x14ac:dyDescent="0.25">
      <c r="A111" s="75" t="s">
        <v>228</v>
      </c>
      <c r="B111" s="333" t="s">
        <v>294</v>
      </c>
      <c r="C111" s="333"/>
      <c r="D111" s="170">
        <f>$D$85</f>
        <v>0</v>
      </c>
    </row>
    <row r="112" spans="1:5" x14ac:dyDescent="0.25">
      <c r="A112" s="75" t="s">
        <v>263</v>
      </c>
      <c r="B112" s="333" t="s">
        <v>310</v>
      </c>
      <c r="C112" s="333"/>
      <c r="D112" s="170">
        <f>$D$94</f>
        <v>0</v>
      </c>
    </row>
    <row r="113" spans="1:4" x14ac:dyDescent="0.25">
      <c r="A113" s="322" t="s">
        <v>326</v>
      </c>
      <c r="B113" s="252"/>
      <c r="C113" s="252"/>
      <c r="D113" s="171">
        <f>TRUNC(SUM(D108:D112),2)</f>
        <v>0</v>
      </c>
    </row>
    <row r="114" spans="1:4" x14ac:dyDescent="0.25">
      <c r="A114" s="75" t="s">
        <v>265</v>
      </c>
      <c r="B114" s="328" t="s">
        <v>315</v>
      </c>
      <c r="C114" s="329"/>
      <c r="D114" s="170">
        <f>D104</f>
        <v>0</v>
      </c>
    </row>
    <row r="115" spans="1:4" ht="30" customHeight="1" thickBot="1" x14ac:dyDescent="0.3">
      <c r="A115" s="355" t="s">
        <v>327</v>
      </c>
      <c r="B115" s="356"/>
      <c r="C115" s="356"/>
      <c r="D115" s="172">
        <f>D113+D114</f>
        <v>0</v>
      </c>
    </row>
  </sheetData>
  <mergeCells count="69">
    <mergeCell ref="B14:C14"/>
    <mergeCell ref="A1:D1"/>
    <mergeCell ref="A2:D2"/>
    <mergeCell ref="B3:C3"/>
    <mergeCell ref="B4:C4"/>
    <mergeCell ref="B5:C5"/>
    <mergeCell ref="B6:C6"/>
    <mergeCell ref="A7:D7"/>
    <mergeCell ref="A8:B8"/>
    <mergeCell ref="A9:B11"/>
    <mergeCell ref="A12:D12"/>
    <mergeCell ref="A13:D13"/>
    <mergeCell ref="A41:B41"/>
    <mergeCell ref="B15:C15"/>
    <mergeCell ref="B16:C16"/>
    <mergeCell ref="B17:C17"/>
    <mergeCell ref="A19:D19"/>
    <mergeCell ref="B20:C20"/>
    <mergeCell ref="B21:C21"/>
    <mergeCell ref="B22:C22"/>
    <mergeCell ref="B23:C23"/>
    <mergeCell ref="A24:C24"/>
    <mergeCell ref="A26:D26"/>
    <mergeCell ref="A31:C31"/>
    <mergeCell ref="A54:D54"/>
    <mergeCell ref="B42:C42"/>
    <mergeCell ref="B43:C43"/>
    <mergeCell ref="B44:C44"/>
    <mergeCell ref="B45:C45"/>
    <mergeCell ref="B46:C46"/>
    <mergeCell ref="A47:C47"/>
    <mergeCell ref="A48:C48"/>
    <mergeCell ref="B49:C49"/>
    <mergeCell ref="B50:C50"/>
    <mergeCell ref="B51:C51"/>
    <mergeCell ref="A52:C52"/>
    <mergeCell ref="A85:C85"/>
    <mergeCell ref="A59:C59"/>
    <mergeCell ref="A64:C64"/>
    <mergeCell ref="A65:C65"/>
    <mergeCell ref="B66:C66"/>
    <mergeCell ref="B67:C67"/>
    <mergeCell ref="A68:C68"/>
    <mergeCell ref="A70:D70"/>
    <mergeCell ref="A79:B79"/>
    <mergeCell ref="A82:C82"/>
    <mergeCell ref="A83:C83"/>
    <mergeCell ref="B84:C84"/>
    <mergeCell ref="A106:D106"/>
    <mergeCell ref="A87:D87"/>
    <mergeCell ref="B88:C88"/>
    <mergeCell ref="B89:C89"/>
    <mergeCell ref="B90:C90"/>
    <mergeCell ref="B91:C91"/>
    <mergeCell ref="B92:C92"/>
    <mergeCell ref="B93:C93"/>
    <mergeCell ref="A94:C94"/>
    <mergeCell ref="A96:D96"/>
    <mergeCell ref="A99:A102"/>
    <mergeCell ref="A104:B104"/>
    <mergeCell ref="A113:C113"/>
    <mergeCell ref="B114:C114"/>
    <mergeCell ref="A115:C115"/>
    <mergeCell ref="A107:C107"/>
    <mergeCell ref="B108:C108"/>
    <mergeCell ref="B109:C109"/>
    <mergeCell ref="B110:C110"/>
    <mergeCell ref="B111:C111"/>
    <mergeCell ref="B112:C112"/>
  </mergeCells>
  <printOptions horizontalCentered="1"/>
  <pageMargins left="0.78740157480314965" right="0.78740157480314965" top="0.78740157480314965" bottom="0.59055118110236227" header="0.11811023622047245" footer="0.19685039370078741"/>
  <pageSetup paperSize="9" scale="99" orientation="landscape" r:id="rId1"/>
  <headerFooter>
    <oddHeader>&amp;C&amp;G</oddHeader>
    <oddFooter>&amp;CPLANILHA DE CUSTOS E FORMAÇÃO DE PREÇOS - ENCARREGADO</oddFooter>
  </headerFooter>
  <rowBreaks count="7" manualBreakCount="7">
    <brk id="18" max="16383" man="1"/>
    <brk id="25" max="16383" man="1"/>
    <brk id="53" max="16383" man="1"/>
    <brk id="69" max="16383" man="1"/>
    <brk id="86" max="16383" man="1"/>
    <brk id="95" max="16383" man="1"/>
    <brk id="105" max="16383" man="1"/>
  </rowBreaks>
  <legacy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14"/>
  <sheetViews>
    <sheetView zoomScaleNormal="100" workbookViewId="0">
      <selection activeCell="M35" sqref="M35"/>
    </sheetView>
  </sheetViews>
  <sheetFormatPr defaultRowHeight="16.5" x14ac:dyDescent="0.25"/>
  <cols>
    <col min="1" max="1" width="4.7109375" style="83" customWidth="1"/>
    <col min="2" max="2" width="50.7109375" style="74" customWidth="1"/>
    <col min="3" max="4" width="25.7109375" style="74" customWidth="1"/>
    <col min="5" max="5" width="9.140625" style="74" customWidth="1"/>
    <col min="6" max="16384" width="9.140625" style="74"/>
  </cols>
  <sheetData>
    <row r="1" spans="1:5" ht="30" customHeight="1" x14ac:dyDescent="0.25">
      <c r="A1" s="319" t="s">
        <v>221</v>
      </c>
      <c r="B1" s="320"/>
      <c r="C1" s="320"/>
      <c r="D1" s="321"/>
      <c r="E1" s="73" t="s">
        <v>441</v>
      </c>
    </row>
    <row r="2" spans="1:5" x14ac:dyDescent="0.25">
      <c r="A2" s="322" t="s">
        <v>222</v>
      </c>
      <c r="B2" s="252"/>
      <c r="C2" s="252"/>
      <c r="D2" s="323"/>
    </row>
    <row r="3" spans="1:5" x14ac:dyDescent="0.25">
      <c r="A3" s="199" t="s">
        <v>223</v>
      </c>
      <c r="B3" s="328" t="s">
        <v>224</v>
      </c>
      <c r="C3" s="330"/>
      <c r="D3" s="221"/>
    </row>
    <row r="4" spans="1:5" x14ac:dyDescent="0.25">
      <c r="A4" s="199" t="s">
        <v>225</v>
      </c>
      <c r="B4" s="333" t="s">
        <v>339</v>
      </c>
      <c r="C4" s="328"/>
      <c r="D4" s="77" t="s">
        <v>340</v>
      </c>
    </row>
    <row r="5" spans="1:5" x14ac:dyDescent="0.25">
      <c r="A5" s="199" t="s">
        <v>226</v>
      </c>
      <c r="B5" s="328" t="s">
        <v>227</v>
      </c>
      <c r="C5" s="330"/>
      <c r="D5" s="77"/>
    </row>
    <row r="6" spans="1:5" x14ac:dyDescent="0.25">
      <c r="A6" s="199" t="s">
        <v>228</v>
      </c>
      <c r="B6" s="328" t="s">
        <v>229</v>
      </c>
      <c r="C6" s="330"/>
      <c r="D6" s="77"/>
    </row>
    <row r="7" spans="1:5" x14ac:dyDescent="0.25">
      <c r="A7" s="322" t="s">
        <v>230</v>
      </c>
      <c r="B7" s="252"/>
      <c r="C7" s="252"/>
      <c r="D7" s="324"/>
    </row>
    <row r="8" spans="1:5" x14ac:dyDescent="0.25">
      <c r="A8" s="357" t="s">
        <v>231</v>
      </c>
      <c r="B8" s="248"/>
      <c r="C8" s="200" t="s">
        <v>232</v>
      </c>
      <c r="D8" s="201" t="s">
        <v>328</v>
      </c>
    </row>
    <row r="9" spans="1:5" x14ac:dyDescent="0.25">
      <c r="A9" s="358" t="s">
        <v>343</v>
      </c>
      <c r="B9" s="359"/>
      <c r="C9" s="215" t="s">
        <v>234</v>
      </c>
      <c r="D9" s="77">
        <v>1</v>
      </c>
    </row>
    <row r="10" spans="1:5" x14ac:dyDescent="0.25">
      <c r="A10" s="360"/>
      <c r="B10" s="361"/>
      <c r="C10" s="215" t="s">
        <v>235</v>
      </c>
      <c r="D10" s="221" t="s">
        <v>338</v>
      </c>
    </row>
    <row r="11" spans="1:5" x14ac:dyDescent="0.25">
      <c r="A11" s="362"/>
      <c r="B11" s="363"/>
      <c r="C11" s="80" t="s">
        <v>236</v>
      </c>
      <c r="D11" s="214"/>
    </row>
    <row r="12" spans="1:5" x14ac:dyDescent="0.25">
      <c r="A12" s="322" t="s">
        <v>237</v>
      </c>
      <c r="B12" s="252"/>
      <c r="C12" s="252"/>
      <c r="D12" s="324"/>
    </row>
    <row r="13" spans="1:5" x14ac:dyDescent="0.25">
      <c r="A13" s="322" t="s">
        <v>238</v>
      </c>
      <c r="B13" s="252"/>
      <c r="C13" s="252"/>
      <c r="D13" s="324"/>
    </row>
    <row r="14" spans="1:5" x14ac:dyDescent="0.25">
      <c r="A14" s="199">
        <v>1</v>
      </c>
      <c r="B14" s="328" t="s">
        <v>231</v>
      </c>
      <c r="C14" s="330"/>
      <c r="D14" s="77" t="str">
        <f>A9</f>
        <v>Limpeza e conservação</v>
      </c>
    </row>
    <row r="15" spans="1:5" x14ac:dyDescent="0.25">
      <c r="A15" s="199">
        <v>2</v>
      </c>
      <c r="B15" s="328" t="s">
        <v>239</v>
      </c>
      <c r="C15" s="330"/>
      <c r="D15" s="170">
        <v>0</v>
      </c>
    </row>
    <row r="16" spans="1:5" x14ac:dyDescent="0.25">
      <c r="A16" s="199">
        <v>3</v>
      </c>
      <c r="B16" s="328" t="s">
        <v>240</v>
      </c>
      <c r="C16" s="330"/>
      <c r="D16" s="77" t="s">
        <v>344</v>
      </c>
    </row>
    <row r="17" spans="1:4" ht="17.25" thickBot="1" x14ac:dyDescent="0.3">
      <c r="A17" s="204">
        <v>4</v>
      </c>
      <c r="B17" s="331" t="s">
        <v>242</v>
      </c>
      <c r="C17" s="332"/>
      <c r="D17" s="222" t="s">
        <v>336</v>
      </c>
    </row>
    <row r="18" spans="1:4" ht="5.0999999999999996" customHeight="1" thickBot="1" x14ac:dyDescent="0.3">
      <c r="B18" s="84"/>
      <c r="C18" s="84"/>
      <c r="D18" s="85"/>
    </row>
    <row r="19" spans="1:4" ht="30" customHeight="1" x14ac:dyDescent="0.25">
      <c r="A19" s="325" t="s">
        <v>243</v>
      </c>
      <c r="B19" s="326"/>
      <c r="C19" s="326"/>
      <c r="D19" s="327"/>
    </row>
    <row r="20" spans="1:4" x14ac:dyDescent="0.25">
      <c r="A20" s="86">
        <v>1</v>
      </c>
      <c r="B20" s="364" t="s">
        <v>244</v>
      </c>
      <c r="C20" s="364"/>
      <c r="D20" s="87" t="s">
        <v>245</v>
      </c>
    </row>
    <row r="21" spans="1:4" x14ac:dyDescent="0.25">
      <c r="A21" s="88" t="s">
        <v>223</v>
      </c>
      <c r="B21" s="365" t="s">
        <v>246</v>
      </c>
      <c r="C21" s="366"/>
      <c r="D21" s="89">
        <f>D15</f>
        <v>0</v>
      </c>
    </row>
    <row r="22" spans="1:4" x14ac:dyDescent="0.25">
      <c r="A22" s="86" t="s">
        <v>225</v>
      </c>
      <c r="B22" s="317" t="s">
        <v>247</v>
      </c>
      <c r="C22" s="318"/>
      <c r="D22" s="220">
        <f>D21*40%</f>
        <v>0</v>
      </c>
    </row>
    <row r="23" spans="1:4" ht="30" customHeight="1" thickBot="1" x14ac:dyDescent="0.3">
      <c r="A23" s="344" t="s">
        <v>248</v>
      </c>
      <c r="B23" s="345"/>
      <c r="C23" s="345"/>
      <c r="D23" s="90">
        <f>D21+D22</f>
        <v>0</v>
      </c>
    </row>
    <row r="24" spans="1:4" ht="5.0999999999999996" customHeight="1" thickBot="1" x14ac:dyDescent="0.3">
      <c r="A24" s="91"/>
      <c r="B24" s="91"/>
      <c r="C24" s="91"/>
      <c r="D24" s="92"/>
    </row>
    <row r="25" spans="1:4" ht="30" customHeight="1" x14ac:dyDescent="0.25">
      <c r="A25" s="314" t="s">
        <v>249</v>
      </c>
      <c r="B25" s="315"/>
      <c r="C25" s="315"/>
      <c r="D25" s="316"/>
    </row>
    <row r="26" spans="1:4" x14ac:dyDescent="0.25">
      <c r="A26" s="202" t="s">
        <v>250</v>
      </c>
      <c r="B26" s="93" t="s">
        <v>251</v>
      </c>
      <c r="C26" s="203" t="s">
        <v>252</v>
      </c>
      <c r="D26" s="94" t="s">
        <v>245</v>
      </c>
    </row>
    <row r="27" spans="1:4" x14ac:dyDescent="0.25">
      <c r="A27" s="95" t="s">
        <v>223</v>
      </c>
      <c r="B27" s="96" t="s">
        <v>253</v>
      </c>
      <c r="C27" s="97">
        <f>(1/12)</f>
        <v>8.3333333333333329E-2</v>
      </c>
      <c r="D27" s="98">
        <f>$D$23*C27</f>
        <v>0</v>
      </c>
    </row>
    <row r="28" spans="1:4" x14ac:dyDescent="0.25">
      <c r="A28" s="202" t="s">
        <v>225</v>
      </c>
      <c r="B28" s="99" t="s">
        <v>254</v>
      </c>
      <c r="C28" s="100">
        <f>(1/3)*(1/12)</f>
        <v>2.7777777777777776E-2</v>
      </c>
      <c r="D28" s="101">
        <f>D23*C28</f>
        <v>0</v>
      </c>
    </row>
    <row r="29" spans="1:4" x14ac:dyDescent="0.25">
      <c r="A29" s="202" t="s">
        <v>226</v>
      </c>
      <c r="B29" s="99" t="s">
        <v>255</v>
      </c>
      <c r="C29" s="100">
        <f>(1/12)</f>
        <v>8.3333333333333329E-2</v>
      </c>
      <c r="D29" s="101">
        <f>D23*C29</f>
        <v>0</v>
      </c>
    </row>
    <row r="30" spans="1:4" x14ac:dyDescent="0.25">
      <c r="A30" s="346" t="s">
        <v>256</v>
      </c>
      <c r="B30" s="347"/>
      <c r="C30" s="347"/>
      <c r="D30" s="102">
        <f>SUM(D27:D29)</f>
        <v>0</v>
      </c>
    </row>
    <row r="31" spans="1:4" x14ac:dyDescent="0.25">
      <c r="A31" s="202" t="s">
        <v>257</v>
      </c>
      <c r="B31" s="203" t="s">
        <v>258</v>
      </c>
      <c r="C31" s="203" t="s">
        <v>252</v>
      </c>
      <c r="D31" s="94" t="s">
        <v>245</v>
      </c>
    </row>
    <row r="32" spans="1:4" x14ac:dyDescent="0.25">
      <c r="A32" s="202" t="s">
        <v>223</v>
      </c>
      <c r="B32" s="99" t="s">
        <v>259</v>
      </c>
      <c r="C32" s="100">
        <v>0.2</v>
      </c>
      <c r="D32" s="101">
        <f>($D$23+$D$30)*C32</f>
        <v>0</v>
      </c>
    </row>
    <row r="33" spans="1:4" x14ac:dyDescent="0.25">
      <c r="A33" s="202" t="s">
        <v>225</v>
      </c>
      <c r="B33" s="104" t="s">
        <v>260</v>
      </c>
      <c r="C33" s="100">
        <v>2.5000000000000001E-2</v>
      </c>
      <c r="D33" s="105">
        <f t="shared" ref="D33:D39" si="0">($D$23+$D$30)*C33</f>
        <v>0</v>
      </c>
    </row>
    <row r="34" spans="1:4" x14ac:dyDescent="0.25">
      <c r="A34" s="202" t="s">
        <v>226</v>
      </c>
      <c r="B34" s="104" t="s">
        <v>261</v>
      </c>
      <c r="C34" s="100">
        <v>0.03</v>
      </c>
      <c r="D34" s="105">
        <f t="shared" si="0"/>
        <v>0</v>
      </c>
    </row>
    <row r="35" spans="1:4" x14ac:dyDescent="0.25">
      <c r="A35" s="202" t="s">
        <v>228</v>
      </c>
      <c r="B35" s="104" t="s">
        <v>262</v>
      </c>
      <c r="C35" s="100">
        <v>1.4999999999999999E-2</v>
      </c>
      <c r="D35" s="105">
        <f t="shared" si="0"/>
        <v>0</v>
      </c>
    </row>
    <row r="36" spans="1:4" x14ac:dyDescent="0.25">
      <c r="A36" s="202" t="s">
        <v>263</v>
      </c>
      <c r="B36" s="99" t="s">
        <v>264</v>
      </c>
      <c r="C36" s="100">
        <v>0.01</v>
      </c>
      <c r="D36" s="101">
        <f t="shared" si="0"/>
        <v>0</v>
      </c>
    </row>
    <row r="37" spans="1:4" x14ac:dyDescent="0.25">
      <c r="A37" s="202" t="s">
        <v>265</v>
      </c>
      <c r="B37" s="99" t="s">
        <v>266</v>
      </c>
      <c r="C37" s="100">
        <v>6.0000000000000001E-3</v>
      </c>
      <c r="D37" s="101">
        <f t="shared" si="0"/>
        <v>0</v>
      </c>
    </row>
    <row r="38" spans="1:4" x14ac:dyDescent="0.25">
      <c r="A38" s="202" t="s">
        <v>267</v>
      </c>
      <c r="B38" s="99" t="s">
        <v>268</v>
      </c>
      <c r="C38" s="100">
        <v>2E-3</v>
      </c>
      <c r="D38" s="101">
        <f t="shared" si="0"/>
        <v>0</v>
      </c>
    </row>
    <row r="39" spans="1:4" x14ac:dyDescent="0.25">
      <c r="A39" s="202" t="s">
        <v>269</v>
      </c>
      <c r="B39" s="99" t="s">
        <v>270</v>
      </c>
      <c r="C39" s="100">
        <v>0.08</v>
      </c>
      <c r="D39" s="101">
        <f t="shared" si="0"/>
        <v>0</v>
      </c>
    </row>
    <row r="40" spans="1:4" x14ac:dyDescent="0.25">
      <c r="A40" s="346" t="s">
        <v>271</v>
      </c>
      <c r="B40" s="347"/>
      <c r="C40" s="106">
        <f>SUM(C32:C39)</f>
        <v>0.36800000000000005</v>
      </c>
      <c r="D40" s="102">
        <f>SUM(D32:D39)</f>
        <v>0</v>
      </c>
    </row>
    <row r="41" spans="1:4" x14ac:dyDescent="0.25">
      <c r="A41" s="202" t="s">
        <v>272</v>
      </c>
      <c r="B41" s="347" t="s">
        <v>273</v>
      </c>
      <c r="C41" s="347"/>
      <c r="D41" s="94" t="s">
        <v>245</v>
      </c>
    </row>
    <row r="42" spans="1:4" x14ac:dyDescent="0.25">
      <c r="A42" s="202" t="s">
        <v>223</v>
      </c>
      <c r="B42" s="312" t="s">
        <v>274</v>
      </c>
      <c r="C42" s="313"/>
      <c r="D42" s="101">
        <f>BENEFICIOS!B13-(D21*6%)</f>
        <v>0</v>
      </c>
    </row>
    <row r="43" spans="1:4" x14ac:dyDescent="0.25">
      <c r="A43" s="202" t="s">
        <v>225</v>
      </c>
      <c r="B43" s="312" t="s">
        <v>275</v>
      </c>
      <c r="C43" s="313"/>
      <c r="D43" s="107">
        <f>BENEFICIOS!B8</f>
        <v>0</v>
      </c>
    </row>
    <row r="44" spans="1:4" x14ac:dyDescent="0.25">
      <c r="A44" s="202" t="s">
        <v>226</v>
      </c>
      <c r="B44" s="312" t="s">
        <v>276</v>
      </c>
      <c r="C44" s="382"/>
      <c r="D44" s="101">
        <v>0</v>
      </c>
    </row>
    <row r="45" spans="1:4" x14ac:dyDescent="0.25">
      <c r="A45" s="202" t="s">
        <v>228</v>
      </c>
      <c r="B45" s="312" t="s">
        <v>277</v>
      </c>
      <c r="C45" s="382"/>
      <c r="D45" s="101">
        <v>0</v>
      </c>
    </row>
    <row r="46" spans="1:4" x14ac:dyDescent="0.25">
      <c r="A46" s="346" t="s">
        <v>278</v>
      </c>
      <c r="B46" s="347"/>
      <c r="C46" s="347"/>
      <c r="D46" s="108">
        <f>SUM(D42:D45)</f>
        <v>0</v>
      </c>
    </row>
    <row r="47" spans="1:4" x14ac:dyDescent="0.25">
      <c r="A47" s="346" t="s">
        <v>372</v>
      </c>
      <c r="B47" s="347"/>
      <c r="C47" s="347"/>
      <c r="D47" s="94" t="s">
        <v>245</v>
      </c>
    </row>
    <row r="48" spans="1:4" x14ac:dyDescent="0.25">
      <c r="A48" s="202" t="s">
        <v>250</v>
      </c>
      <c r="B48" s="312" t="s">
        <v>251</v>
      </c>
      <c r="C48" s="313"/>
      <c r="D48" s="101">
        <f>D30</f>
        <v>0</v>
      </c>
    </row>
    <row r="49" spans="1:4" x14ac:dyDescent="0.25">
      <c r="A49" s="202" t="s">
        <v>257</v>
      </c>
      <c r="B49" s="312" t="s">
        <v>258</v>
      </c>
      <c r="C49" s="313"/>
      <c r="D49" s="101">
        <f>D40</f>
        <v>0</v>
      </c>
    </row>
    <row r="50" spans="1:4" x14ac:dyDescent="0.25">
      <c r="A50" s="202" t="s">
        <v>272</v>
      </c>
      <c r="B50" s="312" t="s">
        <v>273</v>
      </c>
      <c r="C50" s="313"/>
      <c r="D50" s="101">
        <f>D46</f>
        <v>0</v>
      </c>
    </row>
    <row r="51" spans="1:4" ht="30" customHeight="1" thickBot="1" x14ac:dyDescent="0.3">
      <c r="A51" s="386" t="s">
        <v>279</v>
      </c>
      <c r="B51" s="387"/>
      <c r="C51" s="387"/>
      <c r="D51" s="109">
        <f>SUM(D48:D50)</f>
        <v>0</v>
      </c>
    </row>
    <row r="52" spans="1:4" ht="5.0999999999999996" customHeight="1" thickBot="1" x14ac:dyDescent="0.3">
      <c r="A52" s="110"/>
      <c r="B52" s="110"/>
      <c r="C52" s="110"/>
      <c r="D52" s="111"/>
    </row>
    <row r="53" spans="1:4" ht="30" customHeight="1" x14ac:dyDescent="0.25">
      <c r="A53" s="388" t="s">
        <v>280</v>
      </c>
      <c r="B53" s="389"/>
      <c r="C53" s="389"/>
      <c r="D53" s="390"/>
    </row>
    <row r="54" spans="1:4" x14ac:dyDescent="0.25">
      <c r="A54" s="112" t="s">
        <v>281</v>
      </c>
      <c r="B54" s="113" t="s">
        <v>282</v>
      </c>
      <c r="C54" s="113" t="s">
        <v>252</v>
      </c>
      <c r="D54" s="114" t="s">
        <v>245</v>
      </c>
    </row>
    <row r="55" spans="1:4" x14ac:dyDescent="0.25">
      <c r="A55" s="115" t="s">
        <v>223</v>
      </c>
      <c r="B55" s="116" t="s">
        <v>283</v>
      </c>
      <c r="C55" s="117">
        <f>0.05*(1/12)</f>
        <v>4.1666666666666666E-3</v>
      </c>
      <c r="D55" s="118">
        <f>$D$23*C55</f>
        <v>0</v>
      </c>
    </row>
    <row r="56" spans="1:4" ht="33" x14ac:dyDescent="0.25">
      <c r="A56" s="119" t="s">
        <v>225</v>
      </c>
      <c r="B56" s="120" t="s">
        <v>284</v>
      </c>
      <c r="C56" s="121">
        <f>C55*0.08</f>
        <v>3.3333333333333332E-4</v>
      </c>
      <c r="D56" s="118">
        <f t="shared" ref="D56:D57" si="1">$D$23*C56</f>
        <v>0</v>
      </c>
    </row>
    <row r="57" spans="1:4" ht="33" x14ac:dyDescent="0.25">
      <c r="A57" s="119" t="s">
        <v>226</v>
      </c>
      <c r="B57" s="120" t="s">
        <v>285</v>
      </c>
      <c r="C57" s="121">
        <f>0.08*0.4*0.9*(1+1/12+1/12+(1/3*1/12))</f>
        <v>3.4399999999999993E-2</v>
      </c>
      <c r="D57" s="118">
        <f t="shared" si="1"/>
        <v>0</v>
      </c>
    </row>
    <row r="58" spans="1:4" x14ac:dyDescent="0.25">
      <c r="A58" s="391" t="s">
        <v>286</v>
      </c>
      <c r="B58" s="392"/>
      <c r="C58" s="392"/>
      <c r="D58" s="123">
        <f>SUM(D55:D57)</f>
        <v>0</v>
      </c>
    </row>
    <row r="59" spans="1:4" x14ac:dyDescent="0.25">
      <c r="A59" s="112" t="s">
        <v>287</v>
      </c>
      <c r="B59" s="113" t="s">
        <v>288</v>
      </c>
      <c r="C59" s="113" t="s">
        <v>252</v>
      </c>
      <c r="D59" s="114" t="s">
        <v>245</v>
      </c>
    </row>
    <row r="60" spans="1:4" x14ac:dyDescent="0.25">
      <c r="A60" s="112" t="s">
        <v>223</v>
      </c>
      <c r="B60" s="124" t="s">
        <v>289</v>
      </c>
      <c r="C60" s="121">
        <f>((7/30)/12)</f>
        <v>1.9444444444444445E-2</v>
      </c>
      <c r="D60" s="122">
        <f>$D$23*C60</f>
        <v>0</v>
      </c>
    </row>
    <row r="61" spans="1:4" ht="33" x14ac:dyDescent="0.25">
      <c r="A61" s="112" t="s">
        <v>225</v>
      </c>
      <c r="B61" s="125" t="s">
        <v>290</v>
      </c>
      <c r="C61" s="121">
        <f>C60*C40</f>
        <v>7.1555555555555565E-3</v>
      </c>
      <c r="D61" s="122">
        <f t="shared" ref="D61:D62" si="2">$D$23*C61</f>
        <v>0</v>
      </c>
    </row>
    <row r="62" spans="1:4" ht="33" x14ac:dyDescent="0.25">
      <c r="A62" s="112" t="s">
        <v>226</v>
      </c>
      <c r="B62" s="124" t="s">
        <v>291</v>
      </c>
      <c r="C62" s="121">
        <f>(0.0194*0.08)*0.4</f>
        <v>6.2080000000000002E-4</v>
      </c>
      <c r="D62" s="122">
        <f t="shared" si="2"/>
        <v>0</v>
      </c>
    </row>
    <row r="63" spans="1:4" x14ac:dyDescent="0.25">
      <c r="A63" s="393" t="s">
        <v>292</v>
      </c>
      <c r="B63" s="394"/>
      <c r="C63" s="394"/>
      <c r="D63" s="123">
        <f>SUM(D60:D62)</f>
        <v>0</v>
      </c>
    </row>
    <row r="64" spans="1:4" x14ac:dyDescent="0.25">
      <c r="A64" s="393" t="s">
        <v>293</v>
      </c>
      <c r="B64" s="394"/>
      <c r="C64" s="394"/>
      <c r="D64" s="114" t="s">
        <v>245</v>
      </c>
    </row>
    <row r="65" spans="1:4" x14ac:dyDescent="0.25">
      <c r="A65" s="112" t="s">
        <v>281</v>
      </c>
      <c r="B65" s="340" t="s">
        <v>282</v>
      </c>
      <c r="C65" s="341"/>
      <c r="D65" s="122">
        <f>D58</f>
        <v>0</v>
      </c>
    </row>
    <row r="66" spans="1:4" x14ac:dyDescent="0.25">
      <c r="A66" s="112" t="s">
        <v>287</v>
      </c>
      <c r="B66" s="340" t="s">
        <v>288</v>
      </c>
      <c r="C66" s="341"/>
      <c r="D66" s="122">
        <f>D63</f>
        <v>0</v>
      </c>
    </row>
    <row r="67" spans="1:4" ht="30" customHeight="1" thickBot="1" x14ac:dyDescent="0.3">
      <c r="A67" s="338" t="s">
        <v>279</v>
      </c>
      <c r="B67" s="339"/>
      <c r="C67" s="339"/>
      <c r="D67" s="126">
        <f>SUM(D65:D66)</f>
        <v>0</v>
      </c>
    </row>
    <row r="68" spans="1:4" ht="5.0999999999999996" customHeight="1" thickBot="1" x14ac:dyDescent="0.3">
      <c r="B68" s="83"/>
      <c r="C68" s="83"/>
      <c r="D68" s="127"/>
    </row>
    <row r="69" spans="1:4" ht="30" customHeight="1" x14ac:dyDescent="0.25">
      <c r="A69" s="352" t="s">
        <v>294</v>
      </c>
      <c r="B69" s="353"/>
      <c r="C69" s="353"/>
      <c r="D69" s="354"/>
    </row>
    <row r="70" spans="1:4" x14ac:dyDescent="0.25">
      <c r="A70" s="128" t="s">
        <v>295</v>
      </c>
      <c r="B70" s="129" t="s">
        <v>296</v>
      </c>
      <c r="C70" s="129" t="s">
        <v>333</v>
      </c>
      <c r="D70" s="130" t="s">
        <v>245</v>
      </c>
    </row>
    <row r="71" spans="1:4" x14ac:dyDescent="0.25">
      <c r="A71" s="131" t="s">
        <v>223</v>
      </c>
      <c r="B71" s="132" t="s">
        <v>297</v>
      </c>
      <c r="C71" s="133">
        <v>8.3299999999999999E-2</v>
      </c>
      <c r="D71" s="134">
        <f>($D$23+$D$51+$D$67)*C71</f>
        <v>0</v>
      </c>
    </row>
    <row r="72" spans="1:4" x14ac:dyDescent="0.25">
      <c r="A72" s="128" t="s">
        <v>225</v>
      </c>
      <c r="B72" s="135" t="s">
        <v>298</v>
      </c>
      <c r="C72" s="136">
        <v>9.9000000000000008E-3</v>
      </c>
      <c r="D72" s="137">
        <f t="shared" ref="D72:D75" si="3">($D$23+$D$51+$D$67)*C72</f>
        <v>0</v>
      </c>
    </row>
    <row r="73" spans="1:4" x14ac:dyDescent="0.25">
      <c r="A73" s="128" t="s">
        <v>226</v>
      </c>
      <c r="B73" s="135" t="s">
        <v>299</v>
      </c>
      <c r="C73" s="136">
        <v>2.0000000000000001E-4</v>
      </c>
      <c r="D73" s="137">
        <f t="shared" si="3"/>
        <v>0</v>
      </c>
    </row>
    <row r="74" spans="1:4" x14ac:dyDescent="0.25">
      <c r="A74" s="128" t="s">
        <v>228</v>
      </c>
      <c r="B74" s="135" t="s">
        <v>300</v>
      </c>
      <c r="C74" s="136">
        <v>8.3000000000000001E-3</v>
      </c>
      <c r="D74" s="137">
        <f>($D$23+$D$51+$D$67)*C74</f>
        <v>0</v>
      </c>
    </row>
    <row r="75" spans="1:4" ht="33" x14ac:dyDescent="0.25">
      <c r="A75" s="128" t="s">
        <v>263</v>
      </c>
      <c r="B75" s="138" t="s">
        <v>301</v>
      </c>
      <c r="C75" s="136">
        <v>6.9999999999999999E-4</v>
      </c>
      <c r="D75" s="137">
        <f t="shared" si="3"/>
        <v>0</v>
      </c>
    </row>
    <row r="76" spans="1:4" x14ac:dyDescent="0.25">
      <c r="A76" s="128" t="s">
        <v>265</v>
      </c>
      <c r="B76" s="140" t="s">
        <v>302</v>
      </c>
      <c r="C76" s="136">
        <v>1.3899999999999999E-2</v>
      </c>
      <c r="D76" s="141">
        <f>D21*C76</f>
        <v>0</v>
      </c>
    </row>
    <row r="77" spans="1:4" x14ac:dyDescent="0.25">
      <c r="A77" s="128" t="s">
        <v>267</v>
      </c>
      <c r="B77" s="140" t="s">
        <v>303</v>
      </c>
      <c r="C77" s="136">
        <v>0</v>
      </c>
      <c r="D77" s="141">
        <f>($D$23+$D$51+$D$67)*C77</f>
        <v>0</v>
      </c>
    </row>
    <row r="78" spans="1:4" x14ac:dyDescent="0.25">
      <c r="A78" s="350" t="s">
        <v>304</v>
      </c>
      <c r="B78" s="397"/>
      <c r="C78" s="219">
        <f>SUM(C71:C77)</f>
        <v>0.11630000000000001</v>
      </c>
      <c r="D78" s="218">
        <f>SUM(D71:D77)</f>
        <v>0</v>
      </c>
    </row>
    <row r="79" spans="1:4" ht="49.5" x14ac:dyDescent="0.25">
      <c r="A79" s="128" t="s">
        <v>269</v>
      </c>
      <c r="B79" s="138" t="s">
        <v>305</v>
      </c>
      <c r="C79" s="136">
        <f>(0.1163-0.0099)*((1/12)+(1/12)+(1/12*1/3))</f>
        <v>2.0688888888888885E-2</v>
      </c>
      <c r="D79" s="137">
        <f>D78*C79</f>
        <v>0</v>
      </c>
    </row>
    <row r="80" spans="1:4" ht="33" x14ac:dyDescent="0.25">
      <c r="A80" s="128" t="s">
        <v>306</v>
      </c>
      <c r="B80" s="135" t="s">
        <v>307</v>
      </c>
      <c r="C80" s="136">
        <f>C40*C78</f>
        <v>4.2798400000000014E-2</v>
      </c>
      <c r="D80" s="137">
        <f>D78*C80</f>
        <v>0</v>
      </c>
    </row>
    <row r="81" spans="1:4" x14ac:dyDescent="0.25">
      <c r="A81" s="350" t="s">
        <v>308</v>
      </c>
      <c r="B81" s="351"/>
      <c r="C81" s="351"/>
      <c r="D81" s="144">
        <f>SUM(D78:D80)</f>
        <v>0</v>
      </c>
    </row>
    <row r="82" spans="1:4" x14ac:dyDescent="0.25">
      <c r="A82" s="350" t="s">
        <v>309</v>
      </c>
      <c r="B82" s="351"/>
      <c r="C82" s="351"/>
      <c r="D82" s="130" t="s">
        <v>245</v>
      </c>
    </row>
    <row r="83" spans="1:4" x14ac:dyDescent="0.25">
      <c r="A83" s="128" t="s">
        <v>295</v>
      </c>
      <c r="B83" s="377" t="s">
        <v>296</v>
      </c>
      <c r="C83" s="378"/>
      <c r="D83" s="145">
        <f>D81</f>
        <v>0</v>
      </c>
    </row>
    <row r="84" spans="1:4" ht="30" customHeight="1" thickBot="1" x14ac:dyDescent="0.3">
      <c r="A84" s="367" t="s">
        <v>279</v>
      </c>
      <c r="B84" s="368"/>
      <c r="C84" s="368"/>
      <c r="D84" s="146">
        <f>D83</f>
        <v>0</v>
      </c>
    </row>
    <row r="85" spans="1:4" ht="5.0999999999999996" customHeight="1" thickBot="1" x14ac:dyDescent="0.3">
      <c r="A85" s="85"/>
      <c r="B85" s="85"/>
      <c r="C85" s="85"/>
    </row>
    <row r="86" spans="1:4" ht="30" customHeight="1" x14ac:dyDescent="0.25">
      <c r="A86" s="369" t="s">
        <v>310</v>
      </c>
      <c r="B86" s="370"/>
      <c r="C86" s="370"/>
      <c r="D86" s="371"/>
    </row>
    <row r="87" spans="1:4" x14ac:dyDescent="0.25">
      <c r="A87" s="147">
        <v>5</v>
      </c>
      <c r="B87" s="383" t="s">
        <v>311</v>
      </c>
      <c r="C87" s="383"/>
      <c r="D87" s="148" t="s">
        <v>245</v>
      </c>
    </row>
    <row r="88" spans="1:4" x14ac:dyDescent="0.25">
      <c r="A88" s="149" t="s">
        <v>223</v>
      </c>
      <c r="B88" s="384" t="s">
        <v>334</v>
      </c>
      <c r="C88" s="385"/>
      <c r="D88" s="150">
        <f>EPI!H9</f>
        <v>0</v>
      </c>
    </row>
    <row r="89" spans="1:4" x14ac:dyDescent="0.25">
      <c r="A89" s="147" t="s">
        <v>225</v>
      </c>
      <c r="B89" s="348" t="s">
        <v>312</v>
      </c>
      <c r="C89" s="349"/>
      <c r="D89" s="151">
        <f>UNIF!E24</f>
        <v>0</v>
      </c>
    </row>
    <row r="90" spans="1:4" x14ac:dyDescent="0.25">
      <c r="A90" s="147" t="s">
        <v>226</v>
      </c>
      <c r="B90" s="348" t="s">
        <v>313</v>
      </c>
      <c r="C90" s="349"/>
      <c r="D90" s="151">
        <f>MAT_LIMP!G67</f>
        <v>0</v>
      </c>
    </row>
    <row r="91" spans="1:4" x14ac:dyDescent="0.25">
      <c r="A91" s="147" t="s">
        <v>228</v>
      </c>
      <c r="B91" s="348" t="s">
        <v>314</v>
      </c>
      <c r="C91" s="349"/>
      <c r="D91" s="151">
        <f>EQUIP_FERR!F39</f>
        <v>0</v>
      </c>
    </row>
    <row r="92" spans="1:4" x14ac:dyDescent="0.25">
      <c r="A92" s="147" t="s">
        <v>263</v>
      </c>
      <c r="B92" s="348" t="s">
        <v>303</v>
      </c>
      <c r="C92" s="349"/>
      <c r="D92" s="151">
        <v>0</v>
      </c>
    </row>
    <row r="93" spans="1:4" ht="30" customHeight="1" thickBot="1" x14ac:dyDescent="0.3">
      <c r="A93" s="342" t="s">
        <v>335</v>
      </c>
      <c r="B93" s="343"/>
      <c r="C93" s="343"/>
      <c r="D93" s="152">
        <f>SUM(D88:D92)</f>
        <v>0</v>
      </c>
    </row>
    <row r="94" spans="1:4" ht="5.0999999999999996" customHeight="1" thickBot="1" x14ac:dyDescent="0.3">
      <c r="A94" s="85"/>
      <c r="B94" s="85"/>
      <c r="C94" s="85"/>
    </row>
    <row r="95" spans="1:4" ht="30" customHeight="1" x14ac:dyDescent="0.25">
      <c r="A95" s="372" t="s">
        <v>315</v>
      </c>
      <c r="B95" s="373"/>
      <c r="C95" s="373"/>
      <c r="D95" s="374"/>
    </row>
    <row r="96" spans="1:4" x14ac:dyDescent="0.25">
      <c r="A96" s="153">
        <v>6</v>
      </c>
      <c r="B96" s="154" t="s">
        <v>316</v>
      </c>
      <c r="C96" s="154" t="s">
        <v>252</v>
      </c>
      <c r="D96" s="155" t="s">
        <v>245</v>
      </c>
    </row>
    <row r="97" spans="1:5" x14ac:dyDescent="0.25">
      <c r="A97" s="156" t="s">
        <v>223</v>
      </c>
      <c r="B97" s="157" t="s">
        <v>317</v>
      </c>
      <c r="C97" s="158">
        <v>0.03</v>
      </c>
      <c r="D97" s="159">
        <f>D112*C97</f>
        <v>0</v>
      </c>
    </row>
    <row r="98" spans="1:5" x14ac:dyDescent="0.25">
      <c r="A98" s="379" t="s">
        <v>225</v>
      </c>
      <c r="B98" s="163" t="s">
        <v>318</v>
      </c>
      <c r="C98" s="216">
        <f>SUM(C99:C101)</f>
        <v>6.6500000000000004E-2</v>
      </c>
      <c r="D98" s="164">
        <f>SUM(D99:D101)</f>
        <v>0</v>
      </c>
    </row>
    <row r="99" spans="1:5" x14ac:dyDescent="0.25">
      <c r="A99" s="380"/>
      <c r="B99" s="163" t="s">
        <v>319</v>
      </c>
      <c r="C99" s="216">
        <v>6.4999999999999997E-3</v>
      </c>
      <c r="D99" s="164">
        <f>($D$112+$D$97+$D$102)*(C99)/(1-$C$98)</f>
        <v>0</v>
      </c>
      <c r="E99" s="165"/>
    </row>
    <row r="100" spans="1:5" x14ac:dyDescent="0.25">
      <c r="A100" s="380"/>
      <c r="B100" s="163" t="s">
        <v>320</v>
      </c>
      <c r="C100" s="216">
        <v>0.03</v>
      </c>
      <c r="D100" s="164">
        <f>($D$112+$D$97+$D$102)*(C100)/(1-$C$98)</f>
        <v>0</v>
      </c>
      <c r="E100" s="165"/>
    </row>
    <row r="101" spans="1:5" x14ac:dyDescent="0.25">
      <c r="A101" s="381"/>
      <c r="B101" s="163" t="s">
        <v>321</v>
      </c>
      <c r="C101" s="216">
        <v>0.03</v>
      </c>
      <c r="D101" s="164">
        <f>($D$112+$D$97+$D$102)*(C101)/(1-$C$98)</f>
        <v>0</v>
      </c>
      <c r="E101" s="165"/>
    </row>
    <row r="102" spans="1:5" x14ac:dyDescent="0.25">
      <c r="A102" s="153" t="s">
        <v>226</v>
      </c>
      <c r="B102" s="163" t="s">
        <v>322</v>
      </c>
      <c r="C102" s="216">
        <v>6.7900000000000002E-2</v>
      </c>
      <c r="D102" s="164">
        <f>(D112+D97)*C102</f>
        <v>0</v>
      </c>
    </row>
    <row r="103" spans="1:5" ht="30" customHeight="1" thickBot="1" x14ac:dyDescent="0.3">
      <c r="A103" s="375" t="s">
        <v>323</v>
      </c>
      <c r="B103" s="376"/>
      <c r="C103" s="166">
        <f>C97+C98+C102</f>
        <v>0.16439999999999999</v>
      </c>
      <c r="D103" s="167">
        <f>TRUNC((D97+D98+D102),2)</f>
        <v>0</v>
      </c>
    </row>
    <row r="104" spans="1:5" ht="5.0999999999999996" customHeight="1" thickBot="1" x14ac:dyDescent="0.3">
      <c r="A104" s="85"/>
      <c r="B104" s="85"/>
    </row>
    <row r="105" spans="1:5" ht="30" customHeight="1" x14ac:dyDescent="0.25">
      <c r="A105" s="334" t="s">
        <v>324</v>
      </c>
      <c r="B105" s="335"/>
      <c r="C105" s="335"/>
      <c r="D105" s="336"/>
    </row>
    <row r="106" spans="1:5" x14ac:dyDescent="0.25">
      <c r="A106" s="322" t="s">
        <v>325</v>
      </c>
      <c r="B106" s="252"/>
      <c r="C106" s="252"/>
      <c r="D106" s="79" t="s">
        <v>245</v>
      </c>
    </row>
    <row r="107" spans="1:5" x14ac:dyDescent="0.25">
      <c r="A107" s="168" t="s">
        <v>223</v>
      </c>
      <c r="B107" s="337" t="s">
        <v>243</v>
      </c>
      <c r="C107" s="337"/>
      <c r="D107" s="169">
        <f>$D$23</f>
        <v>0</v>
      </c>
    </row>
    <row r="108" spans="1:5" x14ac:dyDescent="0.25">
      <c r="A108" s="75" t="s">
        <v>225</v>
      </c>
      <c r="B108" s="333" t="s">
        <v>249</v>
      </c>
      <c r="C108" s="333"/>
      <c r="D108" s="170">
        <f>$D$51</f>
        <v>0</v>
      </c>
    </row>
    <row r="109" spans="1:5" x14ac:dyDescent="0.25">
      <c r="A109" s="75" t="s">
        <v>226</v>
      </c>
      <c r="B109" s="333" t="s">
        <v>280</v>
      </c>
      <c r="C109" s="333"/>
      <c r="D109" s="170">
        <f>$D$67</f>
        <v>0</v>
      </c>
    </row>
    <row r="110" spans="1:5" x14ac:dyDescent="0.25">
      <c r="A110" s="75" t="s">
        <v>228</v>
      </c>
      <c r="B110" s="333" t="s">
        <v>294</v>
      </c>
      <c r="C110" s="333"/>
      <c r="D110" s="170">
        <f>$D$84</f>
        <v>0</v>
      </c>
    </row>
    <row r="111" spans="1:5" x14ac:dyDescent="0.25">
      <c r="A111" s="75" t="s">
        <v>263</v>
      </c>
      <c r="B111" s="333" t="s">
        <v>310</v>
      </c>
      <c r="C111" s="333"/>
      <c r="D111" s="170">
        <f>$D$93</f>
        <v>0</v>
      </c>
    </row>
    <row r="112" spans="1:5" x14ac:dyDescent="0.25">
      <c r="A112" s="322" t="s">
        <v>326</v>
      </c>
      <c r="B112" s="252"/>
      <c r="C112" s="252"/>
      <c r="D112" s="171">
        <f>TRUNC(SUM(D107:D111),2)</f>
        <v>0</v>
      </c>
    </row>
    <row r="113" spans="1:4" x14ac:dyDescent="0.25">
      <c r="A113" s="75" t="s">
        <v>265</v>
      </c>
      <c r="B113" s="328" t="s">
        <v>315</v>
      </c>
      <c r="C113" s="329"/>
      <c r="D113" s="170">
        <f>D103</f>
        <v>0</v>
      </c>
    </row>
    <row r="114" spans="1:4" ht="30" customHeight="1" thickBot="1" x14ac:dyDescent="0.3">
      <c r="A114" s="355" t="s">
        <v>327</v>
      </c>
      <c r="B114" s="356"/>
      <c r="C114" s="356"/>
      <c r="D114" s="172">
        <f>D112+D113</f>
        <v>0</v>
      </c>
    </row>
  </sheetData>
  <mergeCells count="68">
    <mergeCell ref="B14:C14"/>
    <mergeCell ref="A1:D1"/>
    <mergeCell ref="A2:D2"/>
    <mergeCell ref="B3:C3"/>
    <mergeCell ref="B4:C4"/>
    <mergeCell ref="B5:C5"/>
    <mergeCell ref="B6:C6"/>
    <mergeCell ref="A7:D7"/>
    <mergeCell ref="A8:B8"/>
    <mergeCell ref="A9:B11"/>
    <mergeCell ref="A12:D12"/>
    <mergeCell ref="A13:D13"/>
    <mergeCell ref="B41:C41"/>
    <mergeCell ref="B15:C15"/>
    <mergeCell ref="B16:C16"/>
    <mergeCell ref="B17:C17"/>
    <mergeCell ref="A19:D19"/>
    <mergeCell ref="B20:C20"/>
    <mergeCell ref="B21:C21"/>
    <mergeCell ref="B22:C22"/>
    <mergeCell ref="A23:C23"/>
    <mergeCell ref="A25:D25"/>
    <mergeCell ref="A30:C30"/>
    <mergeCell ref="A40:B40"/>
    <mergeCell ref="A58:C58"/>
    <mergeCell ref="B42:C42"/>
    <mergeCell ref="B43:C43"/>
    <mergeCell ref="B44:C44"/>
    <mergeCell ref="B45:C45"/>
    <mergeCell ref="A46:C46"/>
    <mergeCell ref="A47:C47"/>
    <mergeCell ref="B48:C48"/>
    <mergeCell ref="B49:C49"/>
    <mergeCell ref="B50:C50"/>
    <mergeCell ref="A51:C51"/>
    <mergeCell ref="A53:D53"/>
    <mergeCell ref="A86:D86"/>
    <mergeCell ref="A63:C63"/>
    <mergeCell ref="A64:C64"/>
    <mergeCell ref="B65:C65"/>
    <mergeCell ref="B66:C66"/>
    <mergeCell ref="A67:C67"/>
    <mergeCell ref="A69:D69"/>
    <mergeCell ref="A78:B78"/>
    <mergeCell ref="A81:C81"/>
    <mergeCell ref="A82:C82"/>
    <mergeCell ref="B83:C83"/>
    <mergeCell ref="A84:C84"/>
    <mergeCell ref="A106:C106"/>
    <mergeCell ref="B87:C87"/>
    <mergeCell ref="B88:C88"/>
    <mergeCell ref="B89:C89"/>
    <mergeCell ref="B90:C90"/>
    <mergeCell ref="B91:C91"/>
    <mergeCell ref="B92:C92"/>
    <mergeCell ref="A93:C93"/>
    <mergeCell ref="A95:D95"/>
    <mergeCell ref="A98:A101"/>
    <mergeCell ref="A103:B103"/>
    <mergeCell ref="A105:D105"/>
    <mergeCell ref="B113:C113"/>
    <mergeCell ref="A114:C114"/>
    <mergeCell ref="B107:C107"/>
    <mergeCell ref="B108:C108"/>
    <mergeCell ref="B109:C109"/>
    <mergeCell ref="B110:C110"/>
    <mergeCell ref="B111:C111"/>
    <mergeCell ref="A112:C112"/>
  </mergeCells>
  <printOptions horizontalCentered="1"/>
  <pageMargins left="0.78740157480314965" right="0.78740157480314965" top="0.78740157480314965" bottom="0.59055118110236227" header="0.11811023622047245" footer="0.19685039370078741"/>
  <pageSetup paperSize="9" scale="99" orientation="landscape" r:id="rId1"/>
  <headerFooter>
    <oddHeader>&amp;C&amp;G</oddHeader>
    <oddFooter>&amp;CPLANILHA DE CUSTOS E FORMAÇÃO DE PREÇOS - AUXILIAR DE LIMPEZA (40%)</oddFooter>
  </headerFooter>
  <rowBreaks count="7" manualBreakCount="7">
    <brk id="18" max="16383" man="1"/>
    <brk id="24" max="16383" man="1"/>
    <brk id="52" max="16383" man="1"/>
    <brk id="68" max="16383" man="1"/>
    <brk id="85" max="16383" man="1"/>
    <brk id="94" max="16383" man="1"/>
    <brk id="104" max="16383" man="1"/>
  </rowBreaks>
  <legacy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15"/>
  <sheetViews>
    <sheetView zoomScaleNormal="100" workbookViewId="0">
      <selection activeCell="O28" sqref="O28"/>
    </sheetView>
  </sheetViews>
  <sheetFormatPr defaultRowHeight="16.5" x14ac:dyDescent="0.25"/>
  <cols>
    <col min="1" max="1" width="4.7109375" style="83" customWidth="1"/>
    <col min="2" max="2" width="50.7109375" style="74" customWidth="1"/>
    <col min="3" max="4" width="25.7109375" style="74" customWidth="1"/>
    <col min="5" max="5" width="9.140625" style="74" customWidth="1"/>
    <col min="6" max="16384" width="9.140625" style="74"/>
  </cols>
  <sheetData>
    <row r="1" spans="1:5" ht="30" customHeight="1" x14ac:dyDescent="0.25">
      <c r="A1" s="319" t="s">
        <v>221</v>
      </c>
      <c r="B1" s="320"/>
      <c r="C1" s="320"/>
      <c r="D1" s="321"/>
      <c r="E1" s="73" t="s">
        <v>441</v>
      </c>
    </row>
    <row r="2" spans="1:5" x14ac:dyDescent="0.25">
      <c r="A2" s="322" t="s">
        <v>222</v>
      </c>
      <c r="B2" s="252"/>
      <c r="C2" s="252"/>
      <c r="D2" s="323"/>
    </row>
    <row r="3" spans="1:5" x14ac:dyDescent="0.25">
      <c r="A3" s="199" t="s">
        <v>223</v>
      </c>
      <c r="B3" s="328" t="s">
        <v>224</v>
      </c>
      <c r="C3" s="330"/>
      <c r="D3" s="221"/>
    </row>
    <row r="4" spans="1:5" x14ac:dyDescent="0.25">
      <c r="A4" s="199" t="s">
        <v>225</v>
      </c>
      <c r="B4" s="333" t="s">
        <v>339</v>
      </c>
      <c r="C4" s="328"/>
      <c r="D4" s="77" t="s">
        <v>340</v>
      </c>
    </row>
    <row r="5" spans="1:5" x14ac:dyDescent="0.25">
      <c r="A5" s="199" t="s">
        <v>226</v>
      </c>
      <c r="B5" s="328" t="s">
        <v>227</v>
      </c>
      <c r="C5" s="330"/>
      <c r="D5" s="77"/>
    </row>
    <row r="6" spans="1:5" x14ac:dyDescent="0.25">
      <c r="A6" s="199" t="s">
        <v>228</v>
      </c>
      <c r="B6" s="328" t="s">
        <v>229</v>
      </c>
      <c r="C6" s="330"/>
      <c r="D6" s="77"/>
    </row>
    <row r="7" spans="1:5" x14ac:dyDescent="0.25">
      <c r="A7" s="322" t="s">
        <v>230</v>
      </c>
      <c r="B7" s="252"/>
      <c r="C7" s="252"/>
      <c r="D7" s="324"/>
    </row>
    <row r="8" spans="1:5" x14ac:dyDescent="0.25">
      <c r="A8" s="357" t="s">
        <v>231</v>
      </c>
      <c r="B8" s="248"/>
      <c r="C8" s="200" t="s">
        <v>232</v>
      </c>
      <c r="D8" s="201" t="s">
        <v>328</v>
      </c>
    </row>
    <row r="9" spans="1:5" x14ac:dyDescent="0.25">
      <c r="A9" s="358" t="s">
        <v>343</v>
      </c>
      <c r="B9" s="359"/>
      <c r="C9" s="215" t="s">
        <v>234</v>
      </c>
      <c r="D9" s="77">
        <v>1</v>
      </c>
    </row>
    <row r="10" spans="1:5" x14ac:dyDescent="0.25">
      <c r="A10" s="360"/>
      <c r="B10" s="361"/>
      <c r="C10" s="215" t="s">
        <v>235</v>
      </c>
      <c r="D10" s="221" t="s">
        <v>338</v>
      </c>
    </row>
    <row r="11" spans="1:5" x14ac:dyDescent="0.25">
      <c r="A11" s="362"/>
      <c r="B11" s="363"/>
      <c r="C11" s="215" t="s">
        <v>236</v>
      </c>
      <c r="D11" s="77"/>
    </row>
    <row r="12" spans="1:5" x14ac:dyDescent="0.25">
      <c r="A12" s="322" t="s">
        <v>237</v>
      </c>
      <c r="B12" s="252"/>
      <c r="C12" s="252"/>
      <c r="D12" s="324"/>
    </row>
    <row r="13" spans="1:5" x14ac:dyDescent="0.25">
      <c r="A13" s="322" t="s">
        <v>238</v>
      </c>
      <c r="B13" s="252"/>
      <c r="C13" s="252"/>
      <c r="D13" s="324"/>
    </row>
    <row r="14" spans="1:5" x14ac:dyDescent="0.25">
      <c r="A14" s="199">
        <v>1</v>
      </c>
      <c r="B14" s="328" t="s">
        <v>231</v>
      </c>
      <c r="C14" s="329"/>
      <c r="D14" s="81" t="str">
        <f>A9</f>
        <v>Limpeza e conservação</v>
      </c>
    </row>
    <row r="15" spans="1:5" x14ac:dyDescent="0.25">
      <c r="A15" s="199">
        <v>2</v>
      </c>
      <c r="B15" s="328" t="s">
        <v>239</v>
      </c>
      <c r="C15" s="330"/>
      <c r="D15" s="170">
        <v>0</v>
      </c>
    </row>
    <row r="16" spans="1:5" x14ac:dyDescent="0.25">
      <c r="A16" s="199">
        <v>3</v>
      </c>
      <c r="B16" s="328" t="s">
        <v>240</v>
      </c>
      <c r="C16" s="330"/>
      <c r="D16" s="77" t="s">
        <v>345</v>
      </c>
    </row>
    <row r="17" spans="1:4" ht="17.25" thickBot="1" x14ac:dyDescent="0.3">
      <c r="A17" s="204">
        <v>4</v>
      </c>
      <c r="B17" s="331" t="s">
        <v>242</v>
      </c>
      <c r="C17" s="332"/>
      <c r="D17" s="222" t="s">
        <v>336</v>
      </c>
    </row>
    <row r="18" spans="1:4" ht="5.0999999999999996" customHeight="1" thickBot="1" x14ac:dyDescent="0.3">
      <c r="B18" s="84"/>
      <c r="C18" s="84"/>
      <c r="D18" s="85"/>
    </row>
    <row r="19" spans="1:4" ht="30" customHeight="1" x14ac:dyDescent="0.25">
      <c r="A19" s="325" t="s">
        <v>243</v>
      </c>
      <c r="B19" s="326"/>
      <c r="C19" s="326"/>
      <c r="D19" s="327"/>
    </row>
    <row r="20" spans="1:4" x14ac:dyDescent="0.25">
      <c r="A20" s="86">
        <v>1</v>
      </c>
      <c r="B20" s="364" t="s">
        <v>244</v>
      </c>
      <c r="C20" s="364"/>
      <c r="D20" s="87" t="s">
        <v>245</v>
      </c>
    </row>
    <row r="21" spans="1:4" x14ac:dyDescent="0.25">
      <c r="A21" s="88" t="s">
        <v>223</v>
      </c>
      <c r="B21" s="365" t="s">
        <v>246</v>
      </c>
      <c r="C21" s="395"/>
      <c r="D21" s="220">
        <f>D15</f>
        <v>0</v>
      </c>
    </row>
    <row r="22" spans="1:4" x14ac:dyDescent="0.25">
      <c r="A22" s="86" t="s">
        <v>225</v>
      </c>
      <c r="B22" s="317" t="s">
        <v>247</v>
      </c>
      <c r="C22" s="318"/>
      <c r="D22" s="220">
        <f>D21*40%</f>
        <v>0</v>
      </c>
    </row>
    <row r="23" spans="1:4" x14ac:dyDescent="0.25">
      <c r="A23" s="86" t="s">
        <v>226</v>
      </c>
      <c r="B23" s="317" t="s">
        <v>346</v>
      </c>
      <c r="C23" s="318"/>
      <c r="D23" s="220">
        <f>D21*25%</f>
        <v>0</v>
      </c>
    </row>
    <row r="24" spans="1:4" ht="30" customHeight="1" thickBot="1" x14ac:dyDescent="0.3">
      <c r="A24" s="344" t="s">
        <v>248</v>
      </c>
      <c r="B24" s="345"/>
      <c r="C24" s="396"/>
      <c r="D24" s="223">
        <f>SUM(D21:D23)</f>
        <v>0</v>
      </c>
    </row>
    <row r="25" spans="1:4" ht="5.0999999999999996" customHeight="1" thickBot="1" x14ac:dyDescent="0.3">
      <c r="A25" s="91"/>
      <c r="B25" s="91"/>
      <c r="C25" s="91"/>
      <c r="D25" s="92"/>
    </row>
    <row r="26" spans="1:4" ht="30" customHeight="1" x14ac:dyDescent="0.25">
      <c r="A26" s="314" t="s">
        <v>249</v>
      </c>
      <c r="B26" s="315"/>
      <c r="C26" s="315"/>
      <c r="D26" s="316"/>
    </row>
    <row r="27" spans="1:4" x14ac:dyDescent="0.25">
      <c r="A27" s="202" t="s">
        <v>250</v>
      </c>
      <c r="B27" s="93" t="s">
        <v>251</v>
      </c>
      <c r="C27" s="203" t="s">
        <v>252</v>
      </c>
      <c r="D27" s="94" t="s">
        <v>245</v>
      </c>
    </row>
    <row r="28" spans="1:4" x14ac:dyDescent="0.25">
      <c r="A28" s="95" t="s">
        <v>223</v>
      </c>
      <c r="B28" s="96" t="s">
        <v>253</v>
      </c>
      <c r="C28" s="97">
        <f>(1/12)</f>
        <v>8.3333333333333329E-2</v>
      </c>
      <c r="D28" s="98">
        <f>$D$24*C28</f>
        <v>0</v>
      </c>
    </row>
    <row r="29" spans="1:4" x14ac:dyDescent="0.25">
      <c r="A29" s="202" t="s">
        <v>225</v>
      </c>
      <c r="B29" s="99" t="s">
        <v>254</v>
      </c>
      <c r="C29" s="100">
        <f>(1/3)*(1/12)</f>
        <v>2.7777777777777776E-2</v>
      </c>
      <c r="D29" s="101">
        <f>D24*C29</f>
        <v>0</v>
      </c>
    </row>
    <row r="30" spans="1:4" x14ac:dyDescent="0.25">
      <c r="A30" s="202" t="s">
        <v>226</v>
      </c>
      <c r="B30" s="99" t="s">
        <v>255</v>
      </c>
      <c r="C30" s="100">
        <f>(1/12)</f>
        <v>8.3333333333333329E-2</v>
      </c>
      <c r="D30" s="101">
        <f>D24*C30</f>
        <v>0</v>
      </c>
    </row>
    <row r="31" spans="1:4" x14ac:dyDescent="0.25">
      <c r="A31" s="346" t="s">
        <v>256</v>
      </c>
      <c r="B31" s="347"/>
      <c r="C31" s="347"/>
      <c r="D31" s="102">
        <f>SUM(D28:D30)</f>
        <v>0</v>
      </c>
    </row>
    <row r="32" spans="1:4" x14ac:dyDescent="0.25">
      <c r="A32" s="202" t="s">
        <v>257</v>
      </c>
      <c r="B32" s="203" t="s">
        <v>258</v>
      </c>
      <c r="C32" s="203" t="s">
        <v>252</v>
      </c>
      <c r="D32" s="94" t="s">
        <v>245</v>
      </c>
    </row>
    <row r="33" spans="1:4" x14ac:dyDescent="0.25">
      <c r="A33" s="202" t="s">
        <v>223</v>
      </c>
      <c r="B33" s="99" t="s">
        <v>259</v>
      </c>
      <c r="C33" s="100">
        <v>0.2</v>
      </c>
      <c r="D33" s="101">
        <f>($D$24+$D$31)*C33</f>
        <v>0</v>
      </c>
    </row>
    <row r="34" spans="1:4" x14ac:dyDescent="0.25">
      <c r="A34" s="202" t="s">
        <v>225</v>
      </c>
      <c r="B34" s="104" t="s">
        <v>260</v>
      </c>
      <c r="C34" s="100">
        <v>2.5000000000000001E-2</v>
      </c>
      <c r="D34" s="105">
        <f t="shared" ref="D34:D40" si="0">($D$24+$D$31)*C34</f>
        <v>0</v>
      </c>
    </row>
    <row r="35" spans="1:4" x14ac:dyDescent="0.25">
      <c r="A35" s="202" t="s">
        <v>226</v>
      </c>
      <c r="B35" s="104" t="s">
        <v>261</v>
      </c>
      <c r="C35" s="100">
        <v>0.03</v>
      </c>
      <c r="D35" s="105">
        <f t="shared" si="0"/>
        <v>0</v>
      </c>
    </row>
    <row r="36" spans="1:4" x14ac:dyDescent="0.25">
      <c r="A36" s="202" t="s">
        <v>228</v>
      </c>
      <c r="B36" s="104" t="s">
        <v>262</v>
      </c>
      <c r="C36" s="100">
        <v>1.4999999999999999E-2</v>
      </c>
      <c r="D36" s="105">
        <f t="shared" si="0"/>
        <v>0</v>
      </c>
    </row>
    <row r="37" spans="1:4" x14ac:dyDescent="0.25">
      <c r="A37" s="202" t="s">
        <v>263</v>
      </c>
      <c r="B37" s="99" t="s">
        <v>264</v>
      </c>
      <c r="C37" s="100">
        <v>0.01</v>
      </c>
      <c r="D37" s="101">
        <f t="shared" si="0"/>
        <v>0</v>
      </c>
    </row>
    <row r="38" spans="1:4" x14ac:dyDescent="0.25">
      <c r="A38" s="202" t="s">
        <v>265</v>
      </c>
      <c r="B38" s="99" t="s">
        <v>266</v>
      </c>
      <c r="C38" s="100">
        <v>6.0000000000000001E-3</v>
      </c>
      <c r="D38" s="101">
        <f t="shared" si="0"/>
        <v>0</v>
      </c>
    </row>
    <row r="39" spans="1:4" x14ac:dyDescent="0.25">
      <c r="A39" s="202" t="s">
        <v>267</v>
      </c>
      <c r="B39" s="99" t="s">
        <v>268</v>
      </c>
      <c r="C39" s="100">
        <v>2E-3</v>
      </c>
      <c r="D39" s="101">
        <f t="shared" si="0"/>
        <v>0</v>
      </c>
    </row>
    <row r="40" spans="1:4" x14ac:dyDescent="0.25">
      <c r="A40" s="202" t="s">
        <v>269</v>
      </c>
      <c r="B40" s="99" t="s">
        <v>270</v>
      </c>
      <c r="C40" s="100">
        <v>0.08</v>
      </c>
      <c r="D40" s="101">
        <f t="shared" si="0"/>
        <v>0</v>
      </c>
    </row>
    <row r="41" spans="1:4" x14ac:dyDescent="0.25">
      <c r="A41" s="346" t="s">
        <v>271</v>
      </c>
      <c r="B41" s="347"/>
      <c r="C41" s="106">
        <f>SUM(C33:C40)</f>
        <v>0.36800000000000005</v>
      </c>
      <c r="D41" s="102">
        <f>SUM(D33:D40)</f>
        <v>0</v>
      </c>
    </row>
    <row r="42" spans="1:4" x14ac:dyDescent="0.25">
      <c r="A42" s="202" t="s">
        <v>272</v>
      </c>
      <c r="B42" s="347" t="s">
        <v>273</v>
      </c>
      <c r="C42" s="347"/>
      <c r="D42" s="94" t="s">
        <v>245</v>
      </c>
    </row>
    <row r="43" spans="1:4" x14ac:dyDescent="0.25">
      <c r="A43" s="202" t="s">
        <v>223</v>
      </c>
      <c r="B43" s="312" t="s">
        <v>274</v>
      </c>
      <c r="C43" s="313"/>
      <c r="D43" s="101">
        <f>BENEFICIOS!B13-(D21*6%)</f>
        <v>0</v>
      </c>
    </row>
    <row r="44" spans="1:4" x14ac:dyDescent="0.25">
      <c r="A44" s="202" t="s">
        <v>225</v>
      </c>
      <c r="B44" s="312" t="s">
        <v>275</v>
      </c>
      <c r="C44" s="313"/>
      <c r="D44" s="107">
        <f>BENEFICIOS!B8</f>
        <v>0</v>
      </c>
    </row>
    <row r="45" spans="1:4" x14ac:dyDescent="0.25">
      <c r="A45" s="202" t="s">
        <v>226</v>
      </c>
      <c r="B45" s="312" t="s">
        <v>276</v>
      </c>
      <c r="C45" s="382"/>
      <c r="D45" s="101">
        <v>0</v>
      </c>
    </row>
    <row r="46" spans="1:4" x14ac:dyDescent="0.25">
      <c r="A46" s="202" t="s">
        <v>228</v>
      </c>
      <c r="B46" s="312" t="s">
        <v>277</v>
      </c>
      <c r="C46" s="382"/>
      <c r="D46" s="101">
        <v>0</v>
      </c>
    </row>
    <row r="47" spans="1:4" x14ac:dyDescent="0.25">
      <c r="A47" s="346" t="s">
        <v>278</v>
      </c>
      <c r="B47" s="347"/>
      <c r="C47" s="347"/>
      <c r="D47" s="108">
        <f>SUM(D43:D46)</f>
        <v>0</v>
      </c>
    </row>
    <row r="48" spans="1:4" x14ac:dyDescent="0.25">
      <c r="A48" s="346" t="s">
        <v>372</v>
      </c>
      <c r="B48" s="347"/>
      <c r="C48" s="347"/>
      <c r="D48" s="94" t="s">
        <v>245</v>
      </c>
    </row>
    <row r="49" spans="1:4" x14ac:dyDescent="0.25">
      <c r="A49" s="202" t="s">
        <v>250</v>
      </c>
      <c r="B49" s="312" t="s">
        <v>251</v>
      </c>
      <c r="C49" s="313"/>
      <c r="D49" s="101">
        <f>D31</f>
        <v>0</v>
      </c>
    </row>
    <row r="50" spans="1:4" x14ac:dyDescent="0.25">
      <c r="A50" s="202" t="s">
        <v>257</v>
      </c>
      <c r="B50" s="312" t="s">
        <v>258</v>
      </c>
      <c r="C50" s="313"/>
      <c r="D50" s="101">
        <f>D41</f>
        <v>0</v>
      </c>
    </row>
    <row r="51" spans="1:4" x14ac:dyDescent="0.25">
      <c r="A51" s="202" t="s">
        <v>272</v>
      </c>
      <c r="B51" s="312" t="s">
        <v>273</v>
      </c>
      <c r="C51" s="313"/>
      <c r="D51" s="101">
        <f>D47</f>
        <v>0</v>
      </c>
    </row>
    <row r="52" spans="1:4" ht="30" customHeight="1" thickBot="1" x14ac:dyDescent="0.3">
      <c r="A52" s="386" t="s">
        <v>279</v>
      </c>
      <c r="B52" s="387"/>
      <c r="C52" s="387"/>
      <c r="D52" s="109">
        <f>SUM(D49:D51)</f>
        <v>0</v>
      </c>
    </row>
    <row r="53" spans="1:4" ht="5.0999999999999996" customHeight="1" thickBot="1" x14ac:dyDescent="0.3">
      <c r="A53" s="110"/>
      <c r="B53" s="110"/>
      <c r="C53" s="110"/>
      <c r="D53" s="111"/>
    </row>
    <row r="54" spans="1:4" ht="30" customHeight="1" x14ac:dyDescent="0.25">
      <c r="A54" s="388" t="s">
        <v>280</v>
      </c>
      <c r="B54" s="389"/>
      <c r="C54" s="389"/>
      <c r="D54" s="390"/>
    </row>
    <row r="55" spans="1:4" x14ac:dyDescent="0.25">
      <c r="A55" s="112" t="s">
        <v>281</v>
      </c>
      <c r="B55" s="113" t="s">
        <v>282</v>
      </c>
      <c r="C55" s="113" t="s">
        <v>252</v>
      </c>
      <c r="D55" s="114" t="s">
        <v>245</v>
      </c>
    </row>
    <row r="56" spans="1:4" x14ac:dyDescent="0.25">
      <c r="A56" s="115" t="s">
        <v>223</v>
      </c>
      <c r="B56" s="116" t="s">
        <v>283</v>
      </c>
      <c r="C56" s="117">
        <f>0.05*(1/12)</f>
        <v>4.1666666666666666E-3</v>
      </c>
      <c r="D56" s="118">
        <f>$D$24*C56</f>
        <v>0</v>
      </c>
    </row>
    <row r="57" spans="1:4" ht="33" x14ac:dyDescent="0.25">
      <c r="A57" s="119" t="s">
        <v>225</v>
      </c>
      <c r="B57" s="120" t="s">
        <v>284</v>
      </c>
      <c r="C57" s="121">
        <f>C56*0.08</f>
        <v>3.3333333333333332E-4</v>
      </c>
      <c r="D57" s="118">
        <f t="shared" ref="D57:D58" si="1">$D$24*C57</f>
        <v>0</v>
      </c>
    </row>
    <row r="58" spans="1:4" ht="33" x14ac:dyDescent="0.25">
      <c r="A58" s="119" t="s">
        <v>226</v>
      </c>
      <c r="B58" s="120" t="s">
        <v>285</v>
      </c>
      <c r="C58" s="121">
        <f>0.08*0.4*0.9*(1+1/12+1/12+(1/3*1/12))</f>
        <v>3.4399999999999993E-2</v>
      </c>
      <c r="D58" s="118">
        <f t="shared" si="1"/>
        <v>0</v>
      </c>
    </row>
    <row r="59" spans="1:4" x14ac:dyDescent="0.25">
      <c r="A59" s="391" t="s">
        <v>286</v>
      </c>
      <c r="B59" s="392"/>
      <c r="C59" s="392"/>
      <c r="D59" s="123">
        <f>SUM(D56:D58)</f>
        <v>0</v>
      </c>
    </row>
    <row r="60" spans="1:4" x14ac:dyDescent="0.25">
      <c r="A60" s="112" t="s">
        <v>287</v>
      </c>
      <c r="B60" s="113" t="s">
        <v>288</v>
      </c>
      <c r="C60" s="113" t="s">
        <v>252</v>
      </c>
      <c r="D60" s="114" t="s">
        <v>245</v>
      </c>
    </row>
    <row r="61" spans="1:4" x14ac:dyDescent="0.25">
      <c r="A61" s="112" t="s">
        <v>223</v>
      </c>
      <c r="B61" s="124" t="s">
        <v>289</v>
      </c>
      <c r="C61" s="121">
        <f>((7/30)/12)</f>
        <v>1.9444444444444445E-2</v>
      </c>
      <c r="D61" s="122">
        <f>$D$24*C61</f>
        <v>0</v>
      </c>
    </row>
    <row r="62" spans="1:4" ht="33" x14ac:dyDescent="0.25">
      <c r="A62" s="112" t="s">
        <v>225</v>
      </c>
      <c r="B62" s="125" t="s">
        <v>290</v>
      </c>
      <c r="C62" s="121">
        <f>C61*C41</f>
        <v>7.1555555555555565E-3</v>
      </c>
      <c r="D62" s="122">
        <f t="shared" ref="D62:D63" si="2">$D$24*C62</f>
        <v>0</v>
      </c>
    </row>
    <row r="63" spans="1:4" ht="33" x14ac:dyDescent="0.25">
      <c r="A63" s="112" t="s">
        <v>226</v>
      </c>
      <c r="B63" s="124" t="s">
        <v>291</v>
      </c>
      <c r="C63" s="121">
        <f>(0.0194*0.08)*0.4</f>
        <v>6.2080000000000002E-4</v>
      </c>
      <c r="D63" s="122">
        <f t="shared" si="2"/>
        <v>0</v>
      </c>
    </row>
    <row r="64" spans="1:4" x14ac:dyDescent="0.25">
      <c r="A64" s="393" t="s">
        <v>292</v>
      </c>
      <c r="B64" s="394"/>
      <c r="C64" s="394"/>
      <c r="D64" s="123">
        <f>SUM(D61:D63)</f>
        <v>0</v>
      </c>
    </row>
    <row r="65" spans="1:4" x14ac:dyDescent="0.25">
      <c r="A65" s="393" t="s">
        <v>293</v>
      </c>
      <c r="B65" s="394"/>
      <c r="C65" s="394"/>
      <c r="D65" s="114" t="s">
        <v>245</v>
      </c>
    </row>
    <row r="66" spans="1:4" x14ac:dyDescent="0.25">
      <c r="A66" s="112" t="s">
        <v>281</v>
      </c>
      <c r="B66" s="340" t="s">
        <v>282</v>
      </c>
      <c r="C66" s="341"/>
      <c r="D66" s="122">
        <f>D59</f>
        <v>0</v>
      </c>
    </row>
    <row r="67" spans="1:4" x14ac:dyDescent="0.25">
      <c r="A67" s="112" t="s">
        <v>287</v>
      </c>
      <c r="B67" s="340" t="s">
        <v>288</v>
      </c>
      <c r="C67" s="341"/>
      <c r="D67" s="122">
        <f>D64</f>
        <v>0</v>
      </c>
    </row>
    <row r="68" spans="1:4" ht="30" customHeight="1" thickBot="1" x14ac:dyDescent="0.3">
      <c r="A68" s="338" t="s">
        <v>279</v>
      </c>
      <c r="B68" s="339"/>
      <c r="C68" s="339"/>
      <c r="D68" s="126">
        <f>SUM(D66:D67)</f>
        <v>0</v>
      </c>
    </row>
    <row r="69" spans="1:4" ht="5.0999999999999996" customHeight="1" thickBot="1" x14ac:dyDescent="0.3">
      <c r="B69" s="83"/>
      <c r="C69" s="83"/>
      <c r="D69" s="127"/>
    </row>
    <row r="70" spans="1:4" ht="30" customHeight="1" x14ac:dyDescent="0.25">
      <c r="A70" s="352" t="s">
        <v>294</v>
      </c>
      <c r="B70" s="353"/>
      <c r="C70" s="353"/>
      <c r="D70" s="354"/>
    </row>
    <row r="71" spans="1:4" x14ac:dyDescent="0.25">
      <c r="A71" s="128" t="s">
        <v>295</v>
      </c>
      <c r="B71" s="129" t="s">
        <v>296</v>
      </c>
      <c r="C71" s="129" t="s">
        <v>333</v>
      </c>
      <c r="D71" s="130" t="s">
        <v>245</v>
      </c>
    </row>
    <row r="72" spans="1:4" x14ac:dyDescent="0.25">
      <c r="A72" s="131" t="s">
        <v>223</v>
      </c>
      <c r="B72" s="132" t="s">
        <v>297</v>
      </c>
      <c r="C72" s="133">
        <v>8.3299999999999999E-2</v>
      </c>
      <c r="D72" s="134">
        <f>($D$24+$D$52+$D$68)*C72</f>
        <v>0</v>
      </c>
    </row>
    <row r="73" spans="1:4" x14ac:dyDescent="0.25">
      <c r="A73" s="128" t="s">
        <v>225</v>
      </c>
      <c r="B73" s="135" t="s">
        <v>298</v>
      </c>
      <c r="C73" s="136">
        <v>9.9000000000000008E-3</v>
      </c>
      <c r="D73" s="137">
        <f t="shared" ref="D73:D76" si="3">($D$24+$D$52+$D$68)*C73</f>
        <v>0</v>
      </c>
    </row>
    <row r="74" spans="1:4" x14ac:dyDescent="0.25">
      <c r="A74" s="128" t="s">
        <v>226</v>
      </c>
      <c r="B74" s="135" t="s">
        <v>299</v>
      </c>
      <c r="C74" s="136">
        <v>2.0000000000000001E-4</v>
      </c>
      <c r="D74" s="137">
        <f t="shared" si="3"/>
        <v>0</v>
      </c>
    </row>
    <row r="75" spans="1:4" x14ac:dyDescent="0.25">
      <c r="A75" s="128" t="s">
        <v>228</v>
      </c>
      <c r="B75" s="135" t="s">
        <v>300</v>
      </c>
      <c r="C75" s="136">
        <v>8.3000000000000001E-3</v>
      </c>
      <c r="D75" s="137">
        <f>($D$24+$D$52+$D$68)*C75</f>
        <v>0</v>
      </c>
    </row>
    <row r="76" spans="1:4" ht="33" x14ac:dyDescent="0.25">
      <c r="A76" s="128" t="s">
        <v>263</v>
      </c>
      <c r="B76" s="138" t="s">
        <v>301</v>
      </c>
      <c r="C76" s="136">
        <v>6.9999999999999999E-4</v>
      </c>
      <c r="D76" s="137">
        <f t="shared" si="3"/>
        <v>0</v>
      </c>
    </row>
    <row r="77" spans="1:4" x14ac:dyDescent="0.25">
      <c r="A77" s="128" t="s">
        <v>265</v>
      </c>
      <c r="B77" s="140" t="s">
        <v>302</v>
      </c>
      <c r="C77" s="136">
        <v>1.3899999999999999E-2</v>
      </c>
      <c r="D77" s="141">
        <f>D21*C77</f>
        <v>0</v>
      </c>
    </row>
    <row r="78" spans="1:4" x14ac:dyDescent="0.25">
      <c r="A78" s="128" t="s">
        <v>267</v>
      </c>
      <c r="B78" s="140" t="s">
        <v>303</v>
      </c>
      <c r="C78" s="136">
        <v>0</v>
      </c>
      <c r="D78" s="141">
        <f>($D$24+$D$52+$D$68)*C78</f>
        <v>0</v>
      </c>
    </row>
    <row r="79" spans="1:4" x14ac:dyDescent="0.25">
      <c r="A79" s="350" t="s">
        <v>304</v>
      </c>
      <c r="B79" s="351"/>
      <c r="C79" s="142">
        <f>SUM(C72:C78)</f>
        <v>0.11630000000000001</v>
      </c>
      <c r="D79" s="143">
        <f>SUM(D72:D78)</f>
        <v>0</v>
      </c>
    </row>
    <row r="80" spans="1:4" ht="49.5" x14ac:dyDescent="0.25">
      <c r="A80" s="128" t="s">
        <v>269</v>
      </c>
      <c r="B80" s="138" t="s">
        <v>305</v>
      </c>
      <c r="C80" s="136">
        <f>(0.1163-0.0099)*((1/12)+(1/12)+(1/12*1/3))</f>
        <v>2.0688888888888885E-2</v>
      </c>
      <c r="D80" s="137">
        <f>D79*C80</f>
        <v>0</v>
      </c>
    </row>
    <row r="81" spans="1:4" ht="33" x14ac:dyDescent="0.25">
      <c r="A81" s="128" t="s">
        <v>306</v>
      </c>
      <c r="B81" s="135" t="s">
        <v>307</v>
      </c>
      <c r="C81" s="136">
        <f>C41*C79</f>
        <v>4.2798400000000014E-2</v>
      </c>
      <c r="D81" s="137">
        <f>D79*C81</f>
        <v>0</v>
      </c>
    </row>
    <row r="82" spans="1:4" x14ac:dyDescent="0.25">
      <c r="A82" s="350" t="s">
        <v>308</v>
      </c>
      <c r="B82" s="351"/>
      <c r="C82" s="351"/>
      <c r="D82" s="144">
        <f>SUM(D79:D81)</f>
        <v>0</v>
      </c>
    </row>
    <row r="83" spans="1:4" x14ac:dyDescent="0.25">
      <c r="A83" s="350" t="s">
        <v>309</v>
      </c>
      <c r="B83" s="351"/>
      <c r="C83" s="351"/>
      <c r="D83" s="130" t="s">
        <v>245</v>
      </c>
    </row>
    <row r="84" spans="1:4" x14ac:dyDescent="0.25">
      <c r="A84" s="128" t="s">
        <v>295</v>
      </c>
      <c r="B84" s="377" t="s">
        <v>296</v>
      </c>
      <c r="C84" s="378"/>
      <c r="D84" s="145">
        <f>D82</f>
        <v>0</v>
      </c>
    </row>
    <row r="85" spans="1:4" ht="30" customHeight="1" thickBot="1" x14ac:dyDescent="0.3">
      <c r="A85" s="367" t="s">
        <v>279</v>
      </c>
      <c r="B85" s="368"/>
      <c r="C85" s="368"/>
      <c r="D85" s="146">
        <f>D84</f>
        <v>0</v>
      </c>
    </row>
    <row r="86" spans="1:4" ht="5.0999999999999996" customHeight="1" thickBot="1" x14ac:dyDescent="0.3">
      <c r="A86" s="85"/>
      <c r="B86" s="85"/>
      <c r="C86" s="85"/>
    </row>
    <row r="87" spans="1:4" ht="30" customHeight="1" x14ac:dyDescent="0.25">
      <c r="A87" s="369" t="s">
        <v>310</v>
      </c>
      <c r="B87" s="370"/>
      <c r="C87" s="370"/>
      <c r="D87" s="371"/>
    </row>
    <row r="88" spans="1:4" x14ac:dyDescent="0.25">
      <c r="A88" s="147">
        <v>5</v>
      </c>
      <c r="B88" s="383" t="s">
        <v>311</v>
      </c>
      <c r="C88" s="383"/>
      <c r="D88" s="148" t="s">
        <v>245</v>
      </c>
    </row>
    <row r="89" spans="1:4" x14ac:dyDescent="0.25">
      <c r="A89" s="149" t="s">
        <v>223</v>
      </c>
      <c r="B89" s="384" t="s">
        <v>334</v>
      </c>
      <c r="C89" s="385"/>
      <c r="D89" s="150">
        <f>EPI!H9</f>
        <v>0</v>
      </c>
    </row>
    <row r="90" spans="1:4" x14ac:dyDescent="0.25">
      <c r="A90" s="147" t="s">
        <v>225</v>
      </c>
      <c r="B90" s="348" t="s">
        <v>312</v>
      </c>
      <c r="C90" s="349"/>
      <c r="D90" s="151">
        <f>UNIF!E24</f>
        <v>0</v>
      </c>
    </row>
    <row r="91" spans="1:4" x14ac:dyDescent="0.25">
      <c r="A91" s="147" t="s">
        <v>226</v>
      </c>
      <c r="B91" s="348" t="s">
        <v>313</v>
      </c>
      <c r="C91" s="349"/>
      <c r="D91" s="151">
        <v>0</v>
      </c>
    </row>
    <row r="92" spans="1:4" x14ac:dyDescent="0.25">
      <c r="A92" s="147" t="s">
        <v>228</v>
      </c>
      <c r="B92" s="348" t="s">
        <v>314</v>
      </c>
      <c r="C92" s="349"/>
      <c r="D92" s="151">
        <v>0</v>
      </c>
    </row>
    <row r="93" spans="1:4" x14ac:dyDescent="0.25">
      <c r="A93" s="147" t="s">
        <v>263</v>
      </c>
      <c r="B93" s="348" t="s">
        <v>303</v>
      </c>
      <c r="C93" s="349"/>
      <c r="D93" s="151">
        <v>0</v>
      </c>
    </row>
    <row r="94" spans="1:4" ht="30" customHeight="1" thickBot="1" x14ac:dyDescent="0.3">
      <c r="A94" s="342" t="s">
        <v>335</v>
      </c>
      <c r="B94" s="343"/>
      <c r="C94" s="343"/>
      <c r="D94" s="152">
        <f>SUM(D89:D93)</f>
        <v>0</v>
      </c>
    </row>
    <row r="95" spans="1:4" ht="5.0999999999999996" customHeight="1" thickBot="1" x14ac:dyDescent="0.3">
      <c r="A95" s="85"/>
      <c r="B95" s="85"/>
      <c r="C95" s="85"/>
    </row>
    <row r="96" spans="1:4" ht="30" customHeight="1" x14ac:dyDescent="0.25">
      <c r="A96" s="372" t="s">
        <v>315</v>
      </c>
      <c r="B96" s="373"/>
      <c r="C96" s="373"/>
      <c r="D96" s="374"/>
    </row>
    <row r="97" spans="1:5" x14ac:dyDescent="0.25">
      <c r="A97" s="153">
        <v>6</v>
      </c>
      <c r="B97" s="154" t="s">
        <v>316</v>
      </c>
      <c r="C97" s="154" t="s">
        <v>252</v>
      </c>
      <c r="D97" s="155" t="s">
        <v>245</v>
      </c>
    </row>
    <row r="98" spans="1:5" x14ac:dyDescent="0.25">
      <c r="A98" s="156" t="s">
        <v>223</v>
      </c>
      <c r="B98" s="157" t="s">
        <v>317</v>
      </c>
      <c r="C98" s="158">
        <v>0.03</v>
      </c>
      <c r="D98" s="159">
        <f>D113*C98</f>
        <v>0</v>
      </c>
    </row>
    <row r="99" spans="1:5" x14ac:dyDescent="0.25">
      <c r="A99" s="379" t="s">
        <v>225</v>
      </c>
      <c r="B99" s="163" t="s">
        <v>318</v>
      </c>
      <c r="C99" s="216">
        <f>SUM(C100:C102)</f>
        <v>6.6500000000000004E-2</v>
      </c>
      <c r="D99" s="164">
        <f>SUM(D100:D102)</f>
        <v>0</v>
      </c>
    </row>
    <row r="100" spans="1:5" x14ac:dyDescent="0.25">
      <c r="A100" s="380"/>
      <c r="B100" s="163" t="s">
        <v>319</v>
      </c>
      <c r="C100" s="216">
        <v>6.4999999999999997E-3</v>
      </c>
      <c r="D100" s="164">
        <f>($D$113+$D$98+$D$103)*(C100)/(1-$C$99)</f>
        <v>0</v>
      </c>
      <c r="E100" s="165"/>
    </row>
    <row r="101" spans="1:5" x14ac:dyDescent="0.25">
      <c r="A101" s="380"/>
      <c r="B101" s="163" t="s">
        <v>320</v>
      </c>
      <c r="C101" s="216">
        <v>0.03</v>
      </c>
      <c r="D101" s="164">
        <f>($D$113+$D$98+$D$103)*(C101)/(1-$C$99)</f>
        <v>0</v>
      </c>
      <c r="E101" s="165"/>
    </row>
    <row r="102" spans="1:5" x14ac:dyDescent="0.25">
      <c r="A102" s="381"/>
      <c r="B102" s="163" t="s">
        <v>321</v>
      </c>
      <c r="C102" s="216">
        <v>0.03</v>
      </c>
      <c r="D102" s="164">
        <f t="shared" ref="D102" si="4">($D$113+$D$98+$D$103)*(C102)/(1-$C$99)</f>
        <v>0</v>
      </c>
      <c r="E102" s="165"/>
    </row>
    <row r="103" spans="1:5" x14ac:dyDescent="0.25">
      <c r="A103" s="153" t="s">
        <v>226</v>
      </c>
      <c r="B103" s="163" t="s">
        <v>322</v>
      </c>
      <c r="C103" s="216">
        <v>6.7900000000000002E-2</v>
      </c>
      <c r="D103" s="164">
        <f>(D113+D98)*C103</f>
        <v>0</v>
      </c>
    </row>
    <row r="104" spans="1:5" ht="30" customHeight="1" thickBot="1" x14ac:dyDescent="0.3">
      <c r="A104" s="375" t="s">
        <v>323</v>
      </c>
      <c r="B104" s="376"/>
      <c r="C104" s="166">
        <f>C98+C99+C103</f>
        <v>0.16439999999999999</v>
      </c>
      <c r="D104" s="167">
        <f>TRUNC((D98+D99+D103),2)</f>
        <v>0</v>
      </c>
    </row>
    <row r="105" spans="1:5" ht="5.0999999999999996" customHeight="1" thickBot="1" x14ac:dyDescent="0.3">
      <c r="A105" s="85"/>
      <c r="B105" s="85"/>
    </row>
    <row r="106" spans="1:5" ht="30" customHeight="1" x14ac:dyDescent="0.25">
      <c r="A106" s="334" t="s">
        <v>324</v>
      </c>
      <c r="B106" s="335"/>
      <c r="C106" s="335"/>
      <c r="D106" s="336"/>
    </row>
    <row r="107" spans="1:5" x14ac:dyDescent="0.25">
      <c r="A107" s="322" t="s">
        <v>325</v>
      </c>
      <c r="B107" s="252"/>
      <c r="C107" s="252"/>
      <c r="D107" s="79" t="s">
        <v>245</v>
      </c>
    </row>
    <row r="108" spans="1:5" x14ac:dyDescent="0.25">
      <c r="A108" s="168" t="s">
        <v>223</v>
      </c>
      <c r="B108" s="337" t="s">
        <v>243</v>
      </c>
      <c r="C108" s="337"/>
      <c r="D108" s="169">
        <f>$D$24</f>
        <v>0</v>
      </c>
    </row>
    <row r="109" spans="1:5" x14ac:dyDescent="0.25">
      <c r="A109" s="75" t="s">
        <v>225</v>
      </c>
      <c r="B109" s="333" t="s">
        <v>249</v>
      </c>
      <c r="C109" s="333"/>
      <c r="D109" s="170">
        <f>$D$52</f>
        <v>0</v>
      </c>
    </row>
    <row r="110" spans="1:5" x14ac:dyDescent="0.25">
      <c r="A110" s="75" t="s">
        <v>226</v>
      </c>
      <c r="B110" s="333" t="s">
        <v>280</v>
      </c>
      <c r="C110" s="333"/>
      <c r="D110" s="170">
        <f>$D$68</f>
        <v>0</v>
      </c>
    </row>
    <row r="111" spans="1:5" x14ac:dyDescent="0.25">
      <c r="A111" s="75" t="s">
        <v>228</v>
      </c>
      <c r="B111" s="333" t="s">
        <v>294</v>
      </c>
      <c r="C111" s="333"/>
      <c r="D111" s="170">
        <f>$D$85</f>
        <v>0</v>
      </c>
    </row>
    <row r="112" spans="1:5" x14ac:dyDescent="0.25">
      <c r="A112" s="75" t="s">
        <v>263</v>
      </c>
      <c r="B112" s="333" t="s">
        <v>310</v>
      </c>
      <c r="C112" s="333"/>
      <c r="D112" s="170">
        <f>$D$94</f>
        <v>0</v>
      </c>
    </row>
    <row r="113" spans="1:4" x14ac:dyDescent="0.25">
      <c r="A113" s="322" t="s">
        <v>326</v>
      </c>
      <c r="B113" s="252"/>
      <c r="C113" s="252"/>
      <c r="D113" s="171">
        <f>TRUNC(SUM(D108:D112),2)</f>
        <v>0</v>
      </c>
    </row>
    <row r="114" spans="1:4" x14ac:dyDescent="0.25">
      <c r="A114" s="75" t="s">
        <v>265</v>
      </c>
      <c r="B114" s="328" t="s">
        <v>315</v>
      </c>
      <c r="C114" s="329"/>
      <c r="D114" s="170">
        <f>D104</f>
        <v>0</v>
      </c>
    </row>
    <row r="115" spans="1:4" ht="30" customHeight="1" thickBot="1" x14ac:dyDescent="0.3">
      <c r="A115" s="355" t="s">
        <v>327</v>
      </c>
      <c r="B115" s="356"/>
      <c r="C115" s="356"/>
      <c r="D115" s="172">
        <f>D113+D114</f>
        <v>0</v>
      </c>
    </row>
  </sheetData>
  <mergeCells count="69">
    <mergeCell ref="B14:C14"/>
    <mergeCell ref="A1:D1"/>
    <mergeCell ref="A2:D2"/>
    <mergeCell ref="B3:C3"/>
    <mergeCell ref="B4:C4"/>
    <mergeCell ref="B5:C5"/>
    <mergeCell ref="B6:C6"/>
    <mergeCell ref="A7:D7"/>
    <mergeCell ref="A8:B8"/>
    <mergeCell ref="A9:B11"/>
    <mergeCell ref="A12:D12"/>
    <mergeCell ref="A13:D13"/>
    <mergeCell ref="B42:C42"/>
    <mergeCell ref="B15:C15"/>
    <mergeCell ref="B16:C16"/>
    <mergeCell ref="B17:C17"/>
    <mergeCell ref="A19:D19"/>
    <mergeCell ref="B20:C20"/>
    <mergeCell ref="B21:C21"/>
    <mergeCell ref="B22:C22"/>
    <mergeCell ref="A24:C24"/>
    <mergeCell ref="A26:D26"/>
    <mergeCell ref="A31:C31"/>
    <mergeCell ref="A41:B41"/>
    <mergeCell ref="A59:C59"/>
    <mergeCell ref="B43:C43"/>
    <mergeCell ref="B44:C44"/>
    <mergeCell ref="B45:C45"/>
    <mergeCell ref="B46:C46"/>
    <mergeCell ref="A47:C47"/>
    <mergeCell ref="A48:C48"/>
    <mergeCell ref="B49:C49"/>
    <mergeCell ref="B50:C50"/>
    <mergeCell ref="B51:C51"/>
    <mergeCell ref="A52:C52"/>
    <mergeCell ref="A54:D54"/>
    <mergeCell ref="A87:D87"/>
    <mergeCell ref="A64:C64"/>
    <mergeCell ref="A65:C65"/>
    <mergeCell ref="B66:C66"/>
    <mergeCell ref="B67:C67"/>
    <mergeCell ref="A68:C68"/>
    <mergeCell ref="A70:D70"/>
    <mergeCell ref="A79:B79"/>
    <mergeCell ref="A82:C82"/>
    <mergeCell ref="A83:C83"/>
    <mergeCell ref="B84:C84"/>
    <mergeCell ref="A85:C85"/>
    <mergeCell ref="B89:C89"/>
    <mergeCell ref="B90:C90"/>
    <mergeCell ref="B91:C91"/>
    <mergeCell ref="B92:C92"/>
    <mergeCell ref="B93:C93"/>
    <mergeCell ref="B114:C114"/>
    <mergeCell ref="A115:C115"/>
    <mergeCell ref="B23:C23"/>
    <mergeCell ref="B108:C108"/>
    <mergeCell ref="B109:C109"/>
    <mergeCell ref="B110:C110"/>
    <mergeCell ref="B111:C111"/>
    <mergeCell ref="B112:C112"/>
    <mergeCell ref="A113:C113"/>
    <mergeCell ref="A94:C94"/>
    <mergeCell ref="A96:D96"/>
    <mergeCell ref="A99:A102"/>
    <mergeCell ref="A104:B104"/>
    <mergeCell ref="A106:D106"/>
    <mergeCell ref="A107:C107"/>
    <mergeCell ref="B88:C88"/>
  </mergeCells>
  <printOptions horizontalCentered="1"/>
  <pageMargins left="0.78740157480314965" right="0.78740157480314965" top="0.78740157480314965" bottom="0.59055118110236227" header="0.11811023622047245" footer="0.19685039370078741"/>
  <pageSetup paperSize="9" scale="99" orientation="landscape" r:id="rId1"/>
  <headerFooter>
    <oddHeader>&amp;C&amp;G</oddHeader>
    <oddFooter>&amp;CPLANILHA DE CUSTOS E FORMAÇÃO DE PREÇOS - ENCARREGADO (40%)</oddFooter>
  </headerFooter>
  <rowBreaks count="7" manualBreakCount="7">
    <brk id="18" max="16383" man="1"/>
    <brk id="25" max="16383" man="1"/>
    <brk id="53" max="16383" man="1"/>
    <brk id="69" max="16383" man="1"/>
    <brk id="86" max="16383" man="1"/>
    <brk id="95" max="16383" man="1"/>
    <brk id="105" max="16383" man="1"/>
  </rowBreaks>
  <ignoredErrors>
    <ignoredError sqref="C99" formulaRange="1"/>
  </ignoredErrors>
  <legacy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89"/>
  <sheetViews>
    <sheetView zoomScaleNormal="100" workbookViewId="0">
      <selection activeCell="K26" sqref="K26"/>
    </sheetView>
  </sheetViews>
  <sheetFormatPr defaultRowHeight="15" x14ac:dyDescent="0.25"/>
  <cols>
    <col min="1" max="1" width="44.7109375" style="175" customWidth="1"/>
    <col min="2" max="5" width="16.7109375" style="175" customWidth="1"/>
    <col min="6" max="8" width="20.7109375" style="175" customWidth="1"/>
    <col min="9" max="16384" width="9.140625" style="175"/>
  </cols>
  <sheetData>
    <row r="1" spans="1:5" ht="30" customHeight="1" x14ac:dyDescent="0.25">
      <c r="A1" s="398" t="s">
        <v>357</v>
      </c>
      <c r="B1" s="399"/>
      <c r="C1" s="186" t="s">
        <v>403</v>
      </c>
      <c r="D1" s="192">
        <v>800</v>
      </c>
      <c r="E1" s="187" t="s">
        <v>358</v>
      </c>
    </row>
    <row r="2" spans="1:5" ht="24" x14ac:dyDescent="0.25">
      <c r="A2" s="400" t="s">
        <v>396</v>
      </c>
      <c r="B2" s="188" t="s">
        <v>395</v>
      </c>
      <c r="C2" s="189" t="s">
        <v>405</v>
      </c>
      <c r="D2" s="189" t="s">
        <v>404</v>
      </c>
      <c r="E2" s="189" t="s">
        <v>400</v>
      </c>
    </row>
    <row r="3" spans="1:5" x14ac:dyDescent="0.25">
      <c r="A3" s="400"/>
      <c r="B3" s="188" t="s">
        <v>381</v>
      </c>
      <c r="C3" s="188" t="s">
        <v>380</v>
      </c>
      <c r="D3" s="188" t="s">
        <v>379</v>
      </c>
      <c r="E3" s="188" t="s">
        <v>406</v>
      </c>
    </row>
    <row r="4" spans="1:5" x14ac:dyDescent="0.25">
      <c r="A4" s="183" t="s">
        <v>397</v>
      </c>
      <c r="B4" s="184">
        <f>1/(30*D1)</f>
        <v>4.1666666666666665E-5</v>
      </c>
      <c r="C4" s="224">
        <v>1</v>
      </c>
      <c r="D4" s="185">
        <f>RESUMO_PROPOSTA!$C$7</f>
        <v>0</v>
      </c>
      <c r="E4" s="185">
        <f>ROUND(C4*B4*D4,2)</f>
        <v>0</v>
      </c>
    </row>
    <row r="5" spans="1:5" x14ac:dyDescent="0.25">
      <c r="A5" s="183" t="s">
        <v>398</v>
      </c>
      <c r="B5" s="184">
        <f>1/D1</f>
        <v>1.25E-3</v>
      </c>
      <c r="C5" s="224">
        <f>C4</f>
        <v>1</v>
      </c>
      <c r="D5" s="185">
        <f>RESUMO_PROPOSTA!$C$6</f>
        <v>0</v>
      </c>
      <c r="E5" s="185">
        <f>ROUND(C5*B5*D5,2)</f>
        <v>0</v>
      </c>
    </row>
    <row r="6" spans="1:5" x14ac:dyDescent="0.25">
      <c r="A6" s="398" t="s">
        <v>402</v>
      </c>
      <c r="B6" s="398"/>
      <c r="C6" s="398"/>
      <c r="D6" s="398"/>
      <c r="E6" s="190">
        <f>SUM(E4:E5)</f>
        <v>0</v>
      </c>
    </row>
    <row r="7" spans="1:5" x14ac:dyDescent="0.25">
      <c r="A7" s="398" t="s">
        <v>401</v>
      </c>
      <c r="B7" s="398"/>
      <c r="C7" s="398"/>
      <c r="D7" s="398"/>
      <c r="E7" s="191">
        <f>RESUMO_PROPOSTA!$D$17</f>
        <v>98747.81</v>
      </c>
    </row>
    <row r="8" spans="1:5" x14ac:dyDescent="0.25">
      <c r="A8" s="398" t="s">
        <v>20</v>
      </c>
      <c r="B8" s="398"/>
      <c r="C8" s="398"/>
      <c r="D8" s="398"/>
      <c r="E8" s="190">
        <f>ROUND(E7*E6,2)</f>
        <v>0</v>
      </c>
    </row>
    <row r="10" spans="1:5" ht="30" customHeight="1" x14ac:dyDescent="0.25">
      <c r="A10" s="398" t="s">
        <v>359</v>
      </c>
      <c r="B10" s="399"/>
      <c r="C10" s="186" t="s">
        <v>403</v>
      </c>
      <c r="D10" s="192">
        <v>1500</v>
      </c>
      <c r="E10" s="187" t="s">
        <v>358</v>
      </c>
    </row>
    <row r="11" spans="1:5" ht="24" x14ac:dyDescent="0.25">
      <c r="A11" s="400" t="s">
        <v>396</v>
      </c>
      <c r="B11" s="188" t="s">
        <v>395</v>
      </c>
      <c r="C11" s="189" t="s">
        <v>405</v>
      </c>
      <c r="D11" s="189" t="s">
        <v>404</v>
      </c>
      <c r="E11" s="189" t="s">
        <v>400</v>
      </c>
    </row>
    <row r="12" spans="1:5" x14ac:dyDescent="0.25">
      <c r="A12" s="400"/>
      <c r="B12" s="188" t="s">
        <v>381</v>
      </c>
      <c r="C12" s="188" t="s">
        <v>380</v>
      </c>
      <c r="D12" s="188" t="s">
        <v>379</v>
      </c>
      <c r="E12" s="188" t="s">
        <v>406</v>
      </c>
    </row>
    <row r="13" spans="1:5" x14ac:dyDescent="0.25">
      <c r="A13" s="183" t="s">
        <v>397</v>
      </c>
      <c r="B13" s="184">
        <f>1/(30*D10)</f>
        <v>2.2222222222222223E-5</v>
      </c>
      <c r="C13" s="224">
        <v>1</v>
      </c>
      <c r="D13" s="185">
        <f>RESUMO_PROPOSTA!$C$7</f>
        <v>0</v>
      </c>
      <c r="E13" s="185">
        <f>ROUND(C13*B13*D13,2)</f>
        <v>0</v>
      </c>
    </row>
    <row r="14" spans="1:5" x14ac:dyDescent="0.25">
      <c r="A14" s="183" t="s">
        <v>398</v>
      </c>
      <c r="B14" s="184">
        <f>1/D10</f>
        <v>6.6666666666666664E-4</v>
      </c>
      <c r="C14" s="224">
        <f>C13</f>
        <v>1</v>
      </c>
      <c r="D14" s="185">
        <f>RESUMO_PROPOSTA!$C$6</f>
        <v>0</v>
      </c>
      <c r="E14" s="185">
        <f>ROUND(C14*B14*D14,2)</f>
        <v>0</v>
      </c>
    </row>
    <row r="15" spans="1:5" x14ac:dyDescent="0.25">
      <c r="A15" s="398" t="s">
        <v>402</v>
      </c>
      <c r="B15" s="398"/>
      <c r="C15" s="398"/>
      <c r="D15" s="398"/>
      <c r="E15" s="190">
        <f>SUM(E13:E14)</f>
        <v>0</v>
      </c>
    </row>
    <row r="16" spans="1:5" x14ac:dyDescent="0.25">
      <c r="A16" s="398" t="s">
        <v>401</v>
      </c>
      <c r="B16" s="398"/>
      <c r="C16" s="398"/>
      <c r="D16" s="398"/>
      <c r="E16" s="191">
        <f>RESUMO_PROPOSTA!$D$18</f>
        <v>2481.11</v>
      </c>
    </row>
    <row r="17" spans="1:5" x14ac:dyDescent="0.25">
      <c r="A17" s="398" t="s">
        <v>20</v>
      </c>
      <c r="B17" s="398"/>
      <c r="C17" s="398"/>
      <c r="D17" s="398"/>
      <c r="E17" s="190">
        <f>ROUND(E16*E15,2)</f>
        <v>0</v>
      </c>
    </row>
    <row r="19" spans="1:5" ht="30" customHeight="1" x14ac:dyDescent="0.25">
      <c r="A19" s="398" t="s">
        <v>360</v>
      </c>
      <c r="B19" s="399"/>
      <c r="C19" s="186" t="s">
        <v>403</v>
      </c>
      <c r="D19" s="192">
        <v>200</v>
      </c>
      <c r="E19" s="187" t="s">
        <v>358</v>
      </c>
    </row>
    <row r="20" spans="1:5" ht="24" x14ac:dyDescent="0.25">
      <c r="A20" s="400" t="s">
        <v>396</v>
      </c>
      <c r="B20" s="188" t="s">
        <v>395</v>
      </c>
      <c r="C20" s="189" t="s">
        <v>405</v>
      </c>
      <c r="D20" s="189" t="s">
        <v>404</v>
      </c>
      <c r="E20" s="189" t="s">
        <v>400</v>
      </c>
    </row>
    <row r="21" spans="1:5" x14ac:dyDescent="0.25">
      <c r="A21" s="400"/>
      <c r="B21" s="188" t="s">
        <v>381</v>
      </c>
      <c r="C21" s="188" t="s">
        <v>380</v>
      </c>
      <c r="D21" s="188" t="s">
        <v>379</v>
      </c>
      <c r="E21" s="188" t="s">
        <v>406</v>
      </c>
    </row>
    <row r="22" spans="1:5" x14ac:dyDescent="0.25">
      <c r="A22" s="183" t="s">
        <v>397</v>
      </c>
      <c r="B22" s="184">
        <f>1/(30*D19)</f>
        <v>1.6666666666666666E-4</v>
      </c>
      <c r="C22" s="224">
        <v>1</v>
      </c>
      <c r="D22" s="185">
        <f>RESUMO_PROPOSTA!$C$9</f>
        <v>0</v>
      </c>
      <c r="E22" s="185">
        <f>ROUND(C22*B22*D22,2)</f>
        <v>0</v>
      </c>
    </row>
    <row r="23" spans="1:5" x14ac:dyDescent="0.25">
      <c r="A23" s="183" t="s">
        <v>398</v>
      </c>
      <c r="B23" s="184">
        <f>1/D19</f>
        <v>5.0000000000000001E-3</v>
      </c>
      <c r="C23" s="224">
        <f>C22</f>
        <v>1</v>
      </c>
      <c r="D23" s="185">
        <f>RESUMO_PROPOSTA!$C$8</f>
        <v>0</v>
      </c>
      <c r="E23" s="185">
        <f>ROUND(C23*B23*D23,2)</f>
        <v>0</v>
      </c>
    </row>
    <row r="24" spans="1:5" x14ac:dyDescent="0.25">
      <c r="A24" s="398" t="s">
        <v>402</v>
      </c>
      <c r="B24" s="398"/>
      <c r="C24" s="398"/>
      <c r="D24" s="398"/>
      <c r="E24" s="190">
        <f>SUM(E22:E23)</f>
        <v>0</v>
      </c>
    </row>
    <row r="25" spans="1:5" x14ac:dyDescent="0.25">
      <c r="A25" s="398" t="s">
        <v>401</v>
      </c>
      <c r="B25" s="398"/>
      <c r="C25" s="398"/>
      <c r="D25" s="398"/>
      <c r="E25" s="191">
        <f>RESUMO_PROPOSTA!$D$19</f>
        <v>4952.75</v>
      </c>
    </row>
    <row r="26" spans="1:5" x14ac:dyDescent="0.25">
      <c r="A26" s="398" t="s">
        <v>20</v>
      </c>
      <c r="B26" s="398"/>
      <c r="C26" s="398"/>
      <c r="D26" s="398"/>
      <c r="E26" s="190">
        <f>ROUND(E25*E24,2)</f>
        <v>0</v>
      </c>
    </row>
    <row r="27" spans="1:5" x14ac:dyDescent="0.25">
      <c r="E27" s="182"/>
    </row>
    <row r="28" spans="1:5" ht="30" customHeight="1" x14ac:dyDescent="0.25">
      <c r="A28" s="398" t="s">
        <v>361</v>
      </c>
      <c r="B28" s="399"/>
      <c r="C28" s="186" t="s">
        <v>403</v>
      </c>
      <c r="D28" s="192">
        <v>1800</v>
      </c>
      <c r="E28" s="187" t="s">
        <v>358</v>
      </c>
    </row>
    <row r="29" spans="1:5" ht="24" x14ac:dyDescent="0.25">
      <c r="A29" s="400" t="s">
        <v>396</v>
      </c>
      <c r="B29" s="188" t="s">
        <v>395</v>
      </c>
      <c r="C29" s="189" t="s">
        <v>405</v>
      </c>
      <c r="D29" s="189" t="s">
        <v>404</v>
      </c>
      <c r="E29" s="189" t="s">
        <v>400</v>
      </c>
    </row>
    <row r="30" spans="1:5" x14ac:dyDescent="0.25">
      <c r="A30" s="400"/>
      <c r="B30" s="188" t="s">
        <v>381</v>
      </c>
      <c r="C30" s="188" t="s">
        <v>380</v>
      </c>
      <c r="D30" s="188" t="s">
        <v>379</v>
      </c>
      <c r="E30" s="188" t="s">
        <v>406</v>
      </c>
    </row>
    <row r="31" spans="1:5" x14ac:dyDescent="0.25">
      <c r="A31" s="183" t="s">
        <v>397</v>
      </c>
      <c r="B31" s="184">
        <f>1/(30*D28)</f>
        <v>1.8518518518518518E-5</v>
      </c>
      <c r="C31" s="224">
        <v>1</v>
      </c>
      <c r="D31" s="185">
        <f>RESUMO_PROPOSTA!$C$7</f>
        <v>0</v>
      </c>
      <c r="E31" s="185">
        <f>ROUND(C31*B31*D31,2)</f>
        <v>0</v>
      </c>
    </row>
    <row r="32" spans="1:5" x14ac:dyDescent="0.25">
      <c r="A32" s="183" t="s">
        <v>398</v>
      </c>
      <c r="B32" s="184">
        <f>1/D28</f>
        <v>5.5555555555555556E-4</v>
      </c>
      <c r="C32" s="224">
        <f>C31</f>
        <v>1</v>
      </c>
      <c r="D32" s="185">
        <f>RESUMO_PROPOSTA!$C$6</f>
        <v>0</v>
      </c>
      <c r="E32" s="185">
        <f>ROUND(C32*B32*D32,2)</f>
        <v>0</v>
      </c>
    </row>
    <row r="33" spans="1:5" x14ac:dyDescent="0.25">
      <c r="A33" s="398" t="s">
        <v>402</v>
      </c>
      <c r="B33" s="398"/>
      <c r="C33" s="398"/>
      <c r="D33" s="398"/>
      <c r="E33" s="190">
        <f>SUM(E31:E32)</f>
        <v>0</v>
      </c>
    </row>
    <row r="34" spans="1:5" x14ac:dyDescent="0.25">
      <c r="A34" s="398" t="s">
        <v>401</v>
      </c>
      <c r="B34" s="398"/>
      <c r="C34" s="398"/>
      <c r="D34" s="398"/>
      <c r="E34" s="191">
        <f>RESUMO_PROPOSTA!$D$20</f>
        <v>57656.03</v>
      </c>
    </row>
    <row r="35" spans="1:5" x14ac:dyDescent="0.25">
      <c r="A35" s="398" t="s">
        <v>20</v>
      </c>
      <c r="B35" s="398"/>
      <c r="C35" s="398"/>
      <c r="D35" s="398"/>
      <c r="E35" s="190">
        <f>ROUND(E34*E33,2)</f>
        <v>0</v>
      </c>
    </row>
    <row r="37" spans="1:5" ht="30" customHeight="1" x14ac:dyDescent="0.25">
      <c r="A37" s="398" t="s">
        <v>362</v>
      </c>
      <c r="B37" s="399"/>
      <c r="C37" s="186" t="s">
        <v>403</v>
      </c>
      <c r="D37" s="192">
        <v>300</v>
      </c>
      <c r="E37" s="187" t="s">
        <v>358</v>
      </c>
    </row>
    <row r="38" spans="1:5" ht="24" x14ac:dyDescent="0.25">
      <c r="A38" s="400" t="s">
        <v>396</v>
      </c>
      <c r="B38" s="188" t="s">
        <v>395</v>
      </c>
      <c r="C38" s="189" t="s">
        <v>407</v>
      </c>
      <c r="D38" s="189" t="s">
        <v>404</v>
      </c>
      <c r="E38" s="189" t="s">
        <v>400</v>
      </c>
    </row>
    <row r="39" spans="1:5" x14ac:dyDescent="0.25">
      <c r="A39" s="400"/>
      <c r="B39" s="188" t="s">
        <v>381</v>
      </c>
      <c r="C39" s="188" t="s">
        <v>380</v>
      </c>
      <c r="D39" s="188" t="s">
        <v>379</v>
      </c>
      <c r="E39" s="188" t="s">
        <v>406</v>
      </c>
    </row>
    <row r="40" spans="1:5" x14ac:dyDescent="0.25">
      <c r="A40" s="183" t="s">
        <v>397</v>
      </c>
      <c r="B40" s="184">
        <f>1/(30*D37)</f>
        <v>1.1111111111111112E-4</v>
      </c>
      <c r="C40" s="224">
        <f>(1/188.76)*16</f>
        <v>8.47637211273575E-2</v>
      </c>
      <c r="D40" s="185">
        <f>RESUMO_PROPOSTA!$C$7</f>
        <v>0</v>
      </c>
      <c r="E40" s="185">
        <f>ROUND(C40*B40*D40,2)</f>
        <v>0</v>
      </c>
    </row>
    <row r="41" spans="1:5" x14ac:dyDescent="0.25">
      <c r="A41" s="183" t="s">
        <v>398</v>
      </c>
      <c r="B41" s="184">
        <f>1/D37</f>
        <v>3.3333333333333335E-3</v>
      </c>
      <c r="C41" s="224">
        <f>C40</f>
        <v>8.47637211273575E-2</v>
      </c>
      <c r="D41" s="185">
        <f>RESUMO_PROPOSTA!$C$6</f>
        <v>0</v>
      </c>
      <c r="E41" s="185">
        <f>ROUND(C41*B41*D41,2)</f>
        <v>0</v>
      </c>
    </row>
    <row r="42" spans="1:5" x14ac:dyDescent="0.25">
      <c r="A42" s="398" t="s">
        <v>402</v>
      </c>
      <c r="B42" s="398"/>
      <c r="C42" s="398"/>
      <c r="D42" s="398"/>
      <c r="E42" s="190">
        <f>SUM(E40:E41)</f>
        <v>0</v>
      </c>
    </row>
    <row r="43" spans="1:5" x14ac:dyDescent="0.25">
      <c r="A43" s="398" t="s">
        <v>401</v>
      </c>
      <c r="B43" s="398"/>
      <c r="C43" s="398"/>
      <c r="D43" s="398"/>
      <c r="E43" s="191">
        <f>RESUMO_PROPOSTA!$D$21</f>
        <v>8974.94</v>
      </c>
    </row>
    <row r="44" spans="1:5" x14ac:dyDescent="0.25">
      <c r="A44" s="398" t="s">
        <v>20</v>
      </c>
      <c r="B44" s="398"/>
      <c r="C44" s="398"/>
      <c r="D44" s="398"/>
      <c r="E44" s="190">
        <f>ROUND(E43*E42,2)</f>
        <v>0</v>
      </c>
    </row>
    <row r="45" spans="1:5" x14ac:dyDescent="0.25">
      <c r="E45" s="182"/>
    </row>
    <row r="46" spans="1:5" ht="30" customHeight="1" x14ac:dyDescent="0.25">
      <c r="A46" s="398" t="s">
        <v>408</v>
      </c>
      <c r="B46" s="399"/>
      <c r="C46" s="186" t="s">
        <v>403</v>
      </c>
      <c r="D46" s="192">
        <v>300</v>
      </c>
      <c r="E46" s="187" t="s">
        <v>358</v>
      </c>
    </row>
    <row r="47" spans="1:5" ht="24" x14ac:dyDescent="0.25">
      <c r="A47" s="400" t="s">
        <v>396</v>
      </c>
      <c r="B47" s="188" t="s">
        <v>395</v>
      </c>
      <c r="C47" s="189" t="s">
        <v>407</v>
      </c>
      <c r="D47" s="189" t="s">
        <v>404</v>
      </c>
      <c r="E47" s="189" t="s">
        <v>400</v>
      </c>
    </row>
    <row r="48" spans="1:5" x14ac:dyDescent="0.25">
      <c r="A48" s="400"/>
      <c r="B48" s="188" t="s">
        <v>381</v>
      </c>
      <c r="C48" s="188" t="s">
        <v>380</v>
      </c>
      <c r="D48" s="188" t="s">
        <v>379</v>
      </c>
      <c r="E48" s="188" t="s">
        <v>406</v>
      </c>
    </row>
    <row r="49" spans="1:5" x14ac:dyDescent="0.25">
      <c r="A49" s="183" t="s">
        <v>397</v>
      </c>
      <c r="B49" s="184">
        <f>1/(30*D46)</f>
        <v>1.1111111111111112E-4</v>
      </c>
      <c r="C49" s="224">
        <f>(1/188.76)*16</f>
        <v>8.47637211273575E-2</v>
      </c>
      <c r="D49" s="185">
        <f>RESUMO_PROPOSTA!$C$7</f>
        <v>0</v>
      </c>
      <c r="E49" s="185">
        <f>ROUND(C49*B49*D49,2)</f>
        <v>0</v>
      </c>
    </row>
    <row r="50" spans="1:5" x14ac:dyDescent="0.25">
      <c r="A50" s="183" t="s">
        <v>398</v>
      </c>
      <c r="B50" s="184">
        <f>1/D46</f>
        <v>3.3333333333333335E-3</v>
      </c>
      <c r="C50" s="224">
        <f>C49</f>
        <v>8.47637211273575E-2</v>
      </c>
      <c r="D50" s="185">
        <f>RESUMO_PROPOSTA!$C$6</f>
        <v>0</v>
      </c>
      <c r="E50" s="185">
        <f>ROUND(C50*B50*D50,2)</f>
        <v>0</v>
      </c>
    </row>
    <row r="51" spans="1:5" x14ac:dyDescent="0.25">
      <c r="A51" s="398" t="s">
        <v>402</v>
      </c>
      <c r="B51" s="398"/>
      <c r="C51" s="398"/>
      <c r="D51" s="398"/>
      <c r="E51" s="190">
        <f>SUM(E49:E50)</f>
        <v>0</v>
      </c>
    </row>
    <row r="52" spans="1:5" x14ac:dyDescent="0.25">
      <c r="A52" s="398" t="s">
        <v>401</v>
      </c>
      <c r="B52" s="398"/>
      <c r="C52" s="398"/>
      <c r="D52" s="398"/>
      <c r="E52" s="191">
        <f>RESUMO_PROPOSTA!$D$22</f>
        <v>8974.94</v>
      </c>
    </row>
    <row r="53" spans="1:5" x14ac:dyDescent="0.25">
      <c r="A53" s="398" t="s">
        <v>20</v>
      </c>
      <c r="B53" s="398"/>
      <c r="C53" s="398"/>
      <c r="D53" s="398"/>
      <c r="E53" s="190">
        <f>ROUND(E52*E51,2)</f>
        <v>0</v>
      </c>
    </row>
    <row r="55" spans="1:5" ht="30" customHeight="1" x14ac:dyDescent="0.25">
      <c r="A55" s="398" t="s">
        <v>364</v>
      </c>
      <c r="B55" s="399"/>
      <c r="C55" s="186" t="s">
        <v>403</v>
      </c>
      <c r="D55" s="192">
        <v>1800</v>
      </c>
      <c r="E55" s="187" t="s">
        <v>358</v>
      </c>
    </row>
    <row r="56" spans="1:5" ht="24" x14ac:dyDescent="0.25">
      <c r="A56" s="400" t="s">
        <v>396</v>
      </c>
      <c r="B56" s="188" t="s">
        <v>395</v>
      </c>
      <c r="C56" s="189" t="s">
        <v>407</v>
      </c>
      <c r="D56" s="189" t="s">
        <v>404</v>
      </c>
      <c r="E56" s="189" t="s">
        <v>400</v>
      </c>
    </row>
    <row r="57" spans="1:5" x14ac:dyDescent="0.25">
      <c r="A57" s="400"/>
      <c r="B57" s="188" t="s">
        <v>381</v>
      </c>
      <c r="C57" s="188" t="s">
        <v>380</v>
      </c>
      <c r="D57" s="188" t="s">
        <v>379</v>
      </c>
      <c r="E57" s="188" t="s">
        <v>406</v>
      </c>
    </row>
    <row r="58" spans="1:5" x14ac:dyDescent="0.25">
      <c r="A58" s="183" t="s">
        <v>397</v>
      </c>
      <c r="B58" s="184">
        <f>1/(30*D55)</f>
        <v>1.8518518518518518E-5</v>
      </c>
      <c r="C58" s="224">
        <v>1</v>
      </c>
      <c r="D58" s="185">
        <f>RESUMO_PROPOSTA!$C$7</f>
        <v>0</v>
      </c>
      <c r="E58" s="185">
        <f>ROUND(C58*B58*D58,2)</f>
        <v>0</v>
      </c>
    </row>
    <row r="59" spans="1:5" x14ac:dyDescent="0.25">
      <c r="A59" s="183" t="s">
        <v>398</v>
      </c>
      <c r="B59" s="184">
        <f>1/D55</f>
        <v>5.5555555555555556E-4</v>
      </c>
      <c r="C59" s="224">
        <f>C58</f>
        <v>1</v>
      </c>
      <c r="D59" s="185">
        <f>RESUMO_PROPOSTA!$C$6</f>
        <v>0</v>
      </c>
      <c r="E59" s="185">
        <f>ROUND(C59*B59*D59,2)</f>
        <v>0</v>
      </c>
    </row>
    <row r="60" spans="1:5" x14ac:dyDescent="0.25">
      <c r="A60" s="398" t="s">
        <v>402</v>
      </c>
      <c r="B60" s="398"/>
      <c r="C60" s="398"/>
      <c r="D60" s="398"/>
      <c r="E60" s="190">
        <f>SUM(E58:E59)</f>
        <v>0</v>
      </c>
    </row>
    <row r="61" spans="1:5" x14ac:dyDescent="0.25">
      <c r="A61" s="398" t="s">
        <v>401</v>
      </c>
      <c r="B61" s="398"/>
      <c r="C61" s="398"/>
      <c r="D61" s="398"/>
      <c r="E61" s="191">
        <f>RESUMO_PROPOSTA!$D$23</f>
        <v>3966.83</v>
      </c>
    </row>
    <row r="62" spans="1:5" x14ac:dyDescent="0.25">
      <c r="A62" s="398" t="s">
        <v>20</v>
      </c>
      <c r="B62" s="398"/>
      <c r="C62" s="398"/>
      <c r="D62" s="398"/>
      <c r="E62" s="190">
        <f>ROUND(E61*E60,2)</f>
        <v>0</v>
      </c>
    </row>
    <row r="64" spans="1:5" ht="30" customHeight="1" x14ac:dyDescent="0.25">
      <c r="A64" s="398" t="s">
        <v>399</v>
      </c>
      <c r="B64" s="399"/>
      <c r="C64" s="186" t="s">
        <v>403</v>
      </c>
      <c r="D64" s="192">
        <v>6000</v>
      </c>
      <c r="E64" s="187" t="s">
        <v>358</v>
      </c>
    </row>
    <row r="65" spans="1:5" ht="24" x14ac:dyDescent="0.25">
      <c r="A65" s="400" t="s">
        <v>396</v>
      </c>
      <c r="B65" s="188" t="s">
        <v>395</v>
      </c>
      <c r="C65" s="189" t="s">
        <v>407</v>
      </c>
      <c r="D65" s="189" t="s">
        <v>404</v>
      </c>
      <c r="E65" s="189" t="s">
        <v>400</v>
      </c>
    </row>
    <row r="66" spans="1:5" x14ac:dyDescent="0.25">
      <c r="A66" s="400"/>
      <c r="B66" s="188" t="s">
        <v>381</v>
      </c>
      <c r="C66" s="188" t="s">
        <v>380</v>
      </c>
      <c r="D66" s="188" t="s">
        <v>379</v>
      </c>
      <c r="E66" s="188" t="s">
        <v>406</v>
      </c>
    </row>
    <row r="67" spans="1:5" x14ac:dyDescent="0.25">
      <c r="A67" s="183" t="s">
        <v>397</v>
      </c>
      <c r="B67" s="184">
        <f>1/(30*D64)</f>
        <v>5.5555555555555558E-6</v>
      </c>
      <c r="C67" s="224">
        <v>1</v>
      </c>
      <c r="D67" s="185">
        <f>RESUMO_PROPOSTA!$C$7</f>
        <v>0</v>
      </c>
      <c r="E67" s="185">
        <f>ROUND(C67*B67*D67,2)</f>
        <v>0</v>
      </c>
    </row>
    <row r="68" spans="1:5" x14ac:dyDescent="0.25">
      <c r="A68" s="183" t="s">
        <v>398</v>
      </c>
      <c r="B68" s="184">
        <f>1/D64</f>
        <v>1.6666666666666666E-4</v>
      </c>
      <c r="C68" s="224">
        <f>C67</f>
        <v>1</v>
      </c>
      <c r="D68" s="185">
        <f>RESUMO_PROPOSTA!$C$6</f>
        <v>0</v>
      </c>
      <c r="E68" s="185">
        <f>ROUND(C68*B68*D68,2)</f>
        <v>0</v>
      </c>
    </row>
    <row r="69" spans="1:5" x14ac:dyDescent="0.25">
      <c r="A69" s="398" t="s">
        <v>402</v>
      </c>
      <c r="B69" s="398"/>
      <c r="C69" s="398"/>
      <c r="D69" s="398"/>
      <c r="E69" s="190">
        <f>SUM(E67:E68)</f>
        <v>0</v>
      </c>
    </row>
    <row r="70" spans="1:5" x14ac:dyDescent="0.25">
      <c r="A70" s="398" t="s">
        <v>401</v>
      </c>
      <c r="B70" s="398"/>
      <c r="C70" s="398"/>
      <c r="D70" s="398"/>
      <c r="E70" s="191">
        <f>RESUMO_PROPOSTA!$D$24</f>
        <v>6945.54</v>
      </c>
    </row>
    <row r="71" spans="1:5" x14ac:dyDescent="0.25">
      <c r="A71" s="398" t="s">
        <v>20</v>
      </c>
      <c r="B71" s="398"/>
      <c r="C71" s="398"/>
      <c r="D71" s="398"/>
      <c r="E71" s="190">
        <f>ROUND(E70*E69,2)</f>
        <v>0</v>
      </c>
    </row>
    <row r="77" spans="1:5" x14ac:dyDescent="0.25">
      <c r="E77" s="182"/>
    </row>
    <row r="78" spans="1:5" x14ac:dyDescent="0.25">
      <c r="E78" s="182"/>
    </row>
    <row r="88" spans="5:5" x14ac:dyDescent="0.25">
      <c r="E88" s="182"/>
    </row>
    <row r="89" spans="5:5" x14ac:dyDescent="0.25">
      <c r="E89" s="182"/>
    </row>
  </sheetData>
  <mergeCells count="40">
    <mergeCell ref="A8:D8"/>
    <mergeCell ref="A2:A3"/>
    <mergeCell ref="A1:B1"/>
    <mergeCell ref="A6:D6"/>
    <mergeCell ref="A7:D7"/>
    <mergeCell ref="A28:B28"/>
    <mergeCell ref="A17:D17"/>
    <mergeCell ref="A10:B10"/>
    <mergeCell ref="A11:A12"/>
    <mergeCell ref="A15:D15"/>
    <mergeCell ref="A16:D16"/>
    <mergeCell ref="A19:B19"/>
    <mergeCell ref="A20:A21"/>
    <mergeCell ref="A24:D24"/>
    <mergeCell ref="A25:D25"/>
    <mergeCell ref="A26:D26"/>
    <mergeCell ref="A51:D51"/>
    <mergeCell ref="A29:A30"/>
    <mergeCell ref="A33:D33"/>
    <mergeCell ref="A34:D34"/>
    <mergeCell ref="A35:D35"/>
    <mergeCell ref="A37:B37"/>
    <mergeCell ref="A38:A39"/>
    <mergeCell ref="A42:D42"/>
    <mergeCell ref="A43:D43"/>
    <mergeCell ref="A44:D44"/>
    <mergeCell ref="A46:B46"/>
    <mergeCell ref="A47:A48"/>
    <mergeCell ref="A71:D71"/>
    <mergeCell ref="A52:D52"/>
    <mergeCell ref="A53:D53"/>
    <mergeCell ref="A55:B55"/>
    <mergeCell ref="A56:A57"/>
    <mergeCell ref="A60:D60"/>
    <mergeCell ref="A61:D61"/>
    <mergeCell ref="A62:D62"/>
    <mergeCell ref="A64:B64"/>
    <mergeCell ref="A65:A66"/>
    <mergeCell ref="A69:D69"/>
    <mergeCell ref="A70:D70"/>
  </mergeCells>
  <printOptions horizontalCentered="1"/>
  <pageMargins left="0.59055118110236227" right="0.59055118110236227" top="0.78740157480314965" bottom="0.59055118110236227" header="0.11811023622047245" footer="0.11811023622047245"/>
  <pageSetup paperSize="9" orientation="landscape" r:id="rId1"/>
  <headerFooter>
    <oddHeader>&amp;C&amp;G</oddHeader>
  </headerFooter>
  <rowBreaks count="2" manualBreakCount="2">
    <brk id="27" max="16383" man="1"/>
    <brk id="54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34"/>
  <sheetViews>
    <sheetView zoomScaleNormal="100" workbookViewId="0">
      <selection sqref="A1:G1"/>
    </sheetView>
  </sheetViews>
  <sheetFormatPr defaultRowHeight="16.5" x14ac:dyDescent="0.25"/>
  <cols>
    <col min="1" max="1" width="5.7109375" style="85" customWidth="1"/>
    <col min="2" max="2" width="30.7109375" style="74" customWidth="1"/>
    <col min="3" max="7" width="20.7109375" style="74" customWidth="1"/>
    <col min="8" max="8" width="39.28515625" style="74" customWidth="1"/>
    <col min="9" max="9" width="9.140625" style="74"/>
    <col min="10" max="11" width="17" style="74" bestFit="1" customWidth="1"/>
    <col min="12" max="16384" width="9.140625" style="74"/>
  </cols>
  <sheetData>
    <row r="1" spans="1:10" ht="17.25" x14ac:dyDescent="0.25">
      <c r="A1" s="250" t="s">
        <v>347</v>
      </c>
      <c r="B1" s="250"/>
      <c r="C1" s="250"/>
      <c r="D1" s="250"/>
      <c r="E1" s="250"/>
      <c r="F1" s="250"/>
      <c r="G1" s="250"/>
    </row>
    <row r="2" spans="1:10" ht="39" customHeight="1" x14ac:dyDescent="0.25">
      <c r="A2" s="251" t="s">
        <v>374</v>
      </c>
      <c r="B2" s="251"/>
      <c r="C2" s="40" t="s">
        <v>382</v>
      </c>
      <c r="D2" s="40" t="s">
        <v>375</v>
      </c>
      <c r="E2" s="40" t="s">
        <v>376</v>
      </c>
      <c r="F2" s="40" t="s">
        <v>383</v>
      </c>
      <c r="G2" s="40" t="s">
        <v>377</v>
      </c>
    </row>
    <row r="3" spans="1:10" x14ac:dyDescent="0.25">
      <c r="A3" s="253" t="s">
        <v>381</v>
      </c>
      <c r="B3" s="253"/>
      <c r="C3" s="36" t="s">
        <v>380</v>
      </c>
      <c r="D3" s="36" t="s">
        <v>379</v>
      </c>
      <c r="E3" s="36" t="s">
        <v>414</v>
      </c>
      <c r="F3" s="36" t="s">
        <v>378</v>
      </c>
      <c r="G3" s="36" t="s">
        <v>415</v>
      </c>
    </row>
    <row r="4" spans="1:10" ht="33" customHeight="1" x14ac:dyDescent="0.25">
      <c r="A4" s="78" t="s">
        <v>306</v>
      </c>
      <c r="B4" s="80" t="s">
        <v>233</v>
      </c>
      <c r="C4" s="176">
        <f>ALMOXARIFE!D114</f>
        <v>0</v>
      </c>
      <c r="D4" s="173">
        <v>1</v>
      </c>
      <c r="E4" s="176">
        <f>C4*D4</f>
        <v>0</v>
      </c>
      <c r="F4" s="173">
        <v>5</v>
      </c>
      <c r="G4" s="176">
        <f>E4*F4</f>
        <v>0</v>
      </c>
    </row>
    <row r="5" spans="1:10" ht="33" customHeight="1" x14ac:dyDescent="0.25">
      <c r="A5" s="78" t="s">
        <v>348</v>
      </c>
      <c r="B5" s="80" t="s">
        <v>342</v>
      </c>
      <c r="C5" s="176">
        <f>COPEIRO!D114</f>
        <v>0</v>
      </c>
      <c r="D5" s="173">
        <v>1</v>
      </c>
      <c r="E5" s="176">
        <f t="shared" ref="E5:E9" si="0">C5*D5</f>
        <v>0</v>
      </c>
      <c r="F5" s="173">
        <v>10</v>
      </c>
      <c r="G5" s="197">
        <f t="shared" ref="G5:G9" si="1">E5*F5</f>
        <v>0</v>
      </c>
    </row>
    <row r="6" spans="1:10" ht="33" customHeight="1" x14ac:dyDescent="0.25">
      <c r="A6" s="78" t="s">
        <v>349</v>
      </c>
      <c r="B6" s="80" t="s">
        <v>344</v>
      </c>
      <c r="C6" s="176">
        <f>AUX_LIMP!D114</f>
        <v>0</v>
      </c>
      <c r="D6" s="173">
        <v>1</v>
      </c>
      <c r="E6" s="176">
        <f t="shared" si="0"/>
        <v>0</v>
      </c>
      <c r="F6" s="195"/>
      <c r="G6" s="176">
        <f t="shared" si="1"/>
        <v>0</v>
      </c>
      <c r="H6" s="249" t="s">
        <v>418</v>
      </c>
    </row>
    <row r="7" spans="1:10" ht="33" customHeight="1" x14ac:dyDescent="0.25">
      <c r="A7" s="78" t="s">
        <v>350</v>
      </c>
      <c r="B7" s="80" t="s">
        <v>345</v>
      </c>
      <c r="C7" s="176">
        <f>ENCARREGADO!D115</f>
        <v>0</v>
      </c>
      <c r="D7" s="173">
        <v>1</v>
      </c>
      <c r="E7" s="176">
        <f t="shared" si="0"/>
        <v>0</v>
      </c>
      <c r="F7" s="195"/>
      <c r="G7" s="176">
        <f t="shared" si="1"/>
        <v>0</v>
      </c>
      <c r="H7" s="249"/>
    </row>
    <row r="8" spans="1:10" ht="33" customHeight="1" x14ac:dyDescent="0.25">
      <c r="A8" s="78" t="s">
        <v>352</v>
      </c>
      <c r="B8" s="80" t="s">
        <v>386</v>
      </c>
      <c r="C8" s="176">
        <f>'AUX_LIMP_40%'!D114</f>
        <v>0</v>
      </c>
      <c r="D8" s="173">
        <v>1</v>
      </c>
      <c r="E8" s="176">
        <f t="shared" si="0"/>
        <v>0</v>
      </c>
      <c r="F8" s="195"/>
      <c r="G8" s="176">
        <f t="shared" si="1"/>
        <v>0</v>
      </c>
      <c r="H8" s="249"/>
    </row>
    <row r="9" spans="1:10" ht="33" customHeight="1" x14ac:dyDescent="0.25">
      <c r="A9" s="78" t="s">
        <v>353</v>
      </c>
      <c r="B9" s="80" t="s">
        <v>351</v>
      </c>
      <c r="C9" s="176">
        <f>'ENCARREGADO_40%'!D115</f>
        <v>0</v>
      </c>
      <c r="D9" s="173">
        <v>1</v>
      </c>
      <c r="E9" s="176">
        <f t="shared" si="0"/>
        <v>0</v>
      </c>
      <c r="F9" s="195"/>
      <c r="G9" s="176">
        <f t="shared" si="1"/>
        <v>0</v>
      </c>
      <c r="H9" s="249"/>
    </row>
    <row r="10" spans="1:10" ht="33" customHeight="1" x14ac:dyDescent="0.25">
      <c r="A10" s="78" t="s">
        <v>354</v>
      </c>
      <c r="B10" s="252" t="s">
        <v>412</v>
      </c>
      <c r="C10" s="252"/>
      <c r="D10" s="252"/>
      <c r="E10" s="252"/>
      <c r="F10" s="252"/>
      <c r="G10" s="198">
        <f>SUM(G4:G9)</f>
        <v>0</v>
      </c>
    </row>
    <row r="11" spans="1:10" ht="33" customHeight="1" x14ac:dyDescent="0.25">
      <c r="A11" s="78" t="s">
        <v>355</v>
      </c>
      <c r="B11" s="252" t="s">
        <v>384</v>
      </c>
      <c r="C11" s="252"/>
      <c r="D11" s="252"/>
      <c r="E11" s="252"/>
      <c r="F11" s="252"/>
      <c r="G11" s="178">
        <f>G10*12</f>
        <v>0</v>
      </c>
      <c r="J11" s="194"/>
    </row>
    <row r="12" spans="1:10" ht="33" customHeight="1" x14ac:dyDescent="0.25">
      <c r="A12" s="78" t="s">
        <v>356</v>
      </c>
      <c r="B12" s="252" t="s">
        <v>385</v>
      </c>
      <c r="C12" s="252"/>
      <c r="D12" s="252"/>
      <c r="E12" s="252"/>
      <c r="F12" s="252"/>
      <c r="G12" s="178">
        <f>G10*30</f>
        <v>0</v>
      </c>
    </row>
    <row r="14" spans="1:10" ht="17.25" x14ac:dyDescent="0.25">
      <c r="A14" s="250" t="s">
        <v>394</v>
      </c>
      <c r="B14" s="250"/>
      <c r="C14" s="250"/>
      <c r="D14" s="250"/>
      <c r="E14" s="250"/>
      <c r="F14" s="250"/>
      <c r="G14" s="250"/>
    </row>
    <row r="15" spans="1:10" x14ac:dyDescent="0.25">
      <c r="A15" s="241" t="s">
        <v>387</v>
      </c>
      <c r="B15" s="241"/>
      <c r="C15" s="241" t="s">
        <v>388</v>
      </c>
      <c r="D15" s="179" t="s">
        <v>15</v>
      </c>
      <c r="E15" s="179" t="s">
        <v>389</v>
      </c>
      <c r="F15" s="179" t="s">
        <v>390</v>
      </c>
      <c r="G15" s="179" t="s">
        <v>409</v>
      </c>
    </row>
    <row r="16" spans="1:10" x14ac:dyDescent="0.25">
      <c r="A16" s="241"/>
      <c r="B16" s="241"/>
      <c r="C16" s="241"/>
      <c r="D16" s="40" t="s">
        <v>381</v>
      </c>
      <c r="E16" s="40" t="s">
        <v>380</v>
      </c>
      <c r="F16" s="40" t="s">
        <v>379</v>
      </c>
      <c r="G16" s="40" t="s">
        <v>413</v>
      </c>
    </row>
    <row r="17" spans="1:11" ht="33" customHeight="1" x14ac:dyDescent="0.25">
      <c r="A17" s="78" t="s">
        <v>306</v>
      </c>
      <c r="B17" s="174" t="s">
        <v>357</v>
      </c>
      <c r="C17" s="173" t="s">
        <v>358</v>
      </c>
      <c r="D17" s="181">
        <v>98747.81</v>
      </c>
      <c r="E17" s="176">
        <f>M²!E6</f>
        <v>0</v>
      </c>
      <c r="F17" s="176">
        <f>ROUND(D17*E17,2)</f>
        <v>0</v>
      </c>
      <c r="G17" s="176">
        <f>F17*12</f>
        <v>0</v>
      </c>
      <c r="J17" s="196"/>
      <c r="K17" s="194"/>
    </row>
    <row r="18" spans="1:11" ht="33" customHeight="1" x14ac:dyDescent="0.25">
      <c r="A18" s="78" t="s">
        <v>348</v>
      </c>
      <c r="B18" s="174" t="s">
        <v>359</v>
      </c>
      <c r="C18" s="173" t="s">
        <v>358</v>
      </c>
      <c r="D18" s="181">
        <v>2481.11</v>
      </c>
      <c r="E18" s="176">
        <f>M²!E15</f>
        <v>0</v>
      </c>
      <c r="F18" s="176">
        <f t="shared" ref="F18:F24" si="2">ROUND(D18*E18,2)</f>
        <v>0</v>
      </c>
      <c r="G18" s="176">
        <f t="shared" ref="G18:G24" si="3">F18*12</f>
        <v>0</v>
      </c>
      <c r="J18" s="196"/>
      <c r="K18" s="194"/>
    </row>
    <row r="19" spans="1:11" ht="33" customHeight="1" x14ac:dyDescent="0.25">
      <c r="A19" s="78" t="s">
        <v>349</v>
      </c>
      <c r="B19" s="174" t="s">
        <v>360</v>
      </c>
      <c r="C19" s="173" t="s">
        <v>358</v>
      </c>
      <c r="D19" s="181">
        <v>4952.75</v>
      </c>
      <c r="E19" s="176">
        <f>M²!E24</f>
        <v>0</v>
      </c>
      <c r="F19" s="176">
        <f t="shared" si="2"/>
        <v>0</v>
      </c>
      <c r="G19" s="176">
        <f t="shared" si="3"/>
        <v>0</v>
      </c>
      <c r="J19" s="196"/>
      <c r="K19" s="194"/>
    </row>
    <row r="20" spans="1:11" ht="33" customHeight="1" x14ac:dyDescent="0.25">
      <c r="A20" s="78" t="s">
        <v>350</v>
      </c>
      <c r="B20" s="174" t="s">
        <v>361</v>
      </c>
      <c r="C20" s="173" t="s">
        <v>358</v>
      </c>
      <c r="D20" s="181">
        <v>57656.03</v>
      </c>
      <c r="E20" s="176">
        <f>M²!E33</f>
        <v>0</v>
      </c>
      <c r="F20" s="176">
        <f t="shared" si="2"/>
        <v>0</v>
      </c>
      <c r="G20" s="176">
        <f t="shared" si="3"/>
        <v>0</v>
      </c>
      <c r="J20" s="196"/>
      <c r="K20" s="194"/>
    </row>
    <row r="21" spans="1:11" ht="33" customHeight="1" x14ac:dyDescent="0.25">
      <c r="A21" s="78" t="s">
        <v>352</v>
      </c>
      <c r="B21" s="174" t="s">
        <v>362</v>
      </c>
      <c r="C21" s="173" t="s">
        <v>358</v>
      </c>
      <c r="D21" s="181">
        <v>8974.94</v>
      </c>
      <c r="E21" s="176">
        <f>M²!E42</f>
        <v>0</v>
      </c>
      <c r="F21" s="176">
        <f t="shared" si="2"/>
        <v>0</v>
      </c>
      <c r="G21" s="176">
        <f t="shared" si="3"/>
        <v>0</v>
      </c>
      <c r="J21" s="196"/>
      <c r="K21" s="194"/>
    </row>
    <row r="22" spans="1:11" ht="33" customHeight="1" x14ac:dyDescent="0.25">
      <c r="A22" s="78" t="s">
        <v>353</v>
      </c>
      <c r="B22" s="174" t="s">
        <v>363</v>
      </c>
      <c r="C22" s="173" t="s">
        <v>358</v>
      </c>
      <c r="D22" s="181">
        <v>8974.94</v>
      </c>
      <c r="E22" s="176">
        <f>M²!E51</f>
        <v>0</v>
      </c>
      <c r="F22" s="176">
        <f t="shared" si="2"/>
        <v>0</v>
      </c>
      <c r="G22" s="176">
        <f t="shared" si="3"/>
        <v>0</v>
      </c>
      <c r="J22" s="196"/>
      <c r="K22" s="194"/>
    </row>
    <row r="23" spans="1:11" ht="33" customHeight="1" x14ac:dyDescent="0.25">
      <c r="A23" s="78" t="s">
        <v>354</v>
      </c>
      <c r="B23" s="174" t="s">
        <v>364</v>
      </c>
      <c r="C23" s="173" t="s">
        <v>358</v>
      </c>
      <c r="D23" s="181">
        <v>3966.83</v>
      </c>
      <c r="E23" s="176">
        <f>M²!E60</f>
        <v>0</v>
      </c>
      <c r="F23" s="176">
        <f t="shared" si="2"/>
        <v>0</v>
      </c>
      <c r="G23" s="176">
        <f t="shared" si="3"/>
        <v>0</v>
      </c>
      <c r="J23" s="196"/>
      <c r="K23" s="194"/>
    </row>
    <row r="24" spans="1:11" ht="33" customHeight="1" x14ac:dyDescent="0.25">
      <c r="A24" s="78" t="s">
        <v>355</v>
      </c>
      <c r="B24" s="174" t="s">
        <v>365</v>
      </c>
      <c r="C24" s="173" t="s">
        <v>358</v>
      </c>
      <c r="D24" s="181">
        <v>6945.54</v>
      </c>
      <c r="E24" s="176">
        <f>M²!E69</f>
        <v>0</v>
      </c>
      <c r="F24" s="176">
        <f t="shared" si="2"/>
        <v>0</v>
      </c>
      <c r="G24" s="176">
        <f t="shared" si="3"/>
        <v>0</v>
      </c>
      <c r="J24" s="196"/>
      <c r="K24" s="194"/>
    </row>
    <row r="25" spans="1:11" ht="33" customHeight="1" x14ac:dyDescent="0.25">
      <c r="A25" s="78" t="s">
        <v>356</v>
      </c>
      <c r="B25" s="243" t="s">
        <v>391</v>
      </c>
      <c r="C25" s="244"/>
      <c r="D25" s="244"/>
      <c r="E25" s="244"/>
      <c r="F25" s="248"/>
      <c r="G25" s="178">
        <f>SUM(F17:F24)</f>
        <v>0</v>
      </c>
    </row>
    <row r="26" spans="1:11" ht="33" customHeight="1" x14ac:dyDescent="0.25">
      <c r="A26" s="78" t="s">
        <v>366</v>
      </c>
      <c r="B26" s="243" t="s">
        <v>392</v>
      </c>
      <c r="C26" s="244"/>
      <c r="D26" s="244"/>
      <c r="E26" s="244"/>
      <c r="F26" s="248"/>
      <c r="G26" s="178">
        <f>G25*12</f>
        <v>0</v>
      </c>
      <c r="H26" s="194"/>
    </row>
    <row r="27" spans="1:11" ht="33" customHeight="1" x14ac:dyDescent="0.25">
      <c r="A27" s="78" t="s">
        <v>367</v>
      </c>
      <c r="B27" s="243" t="s">
        <v>393</v>
      </c>
      <c r="C27" s="244"/>
      <c r="D27" s="244"/>
      <c r="E27" s="244"/>
      <c r="F27" s="248"/>
      <c r="G27" s="178">
        <f>G25*30</f>
        <v>0</v>
      </c>
    </row>
    <row r="29" spans="1:11" s="180" customFormat="1" ht="33" customHeight="1" x14ac:dyDescent="0.25">
      <c r="A29" s="243" t="s">
        <v>368</v>
      </c>
      <c r="B29" s="244"/>
      <c r="C29" s="244"/>
      <c r="D29" s="244"/>
      <c r="E29" s="244"/>
      <c r="F29" s="248"/>
      <c r="G29" s="78" t="s">
        <v>245</v>
      </c>
    </row>
    <row r="30" spans="1:11" ht="33" customHeight="1" x14ac:dyDescent="0.25">
      <c r="A30" s="78" t="s">
        <v>223</v>
      </c>
      <c r="B30" s="245" t="s">
        <v>369</v>
      </c>
      <c r="C30" s="246"/>
      <c r="D30" s="246"/>
      <c r="E30" s="246"/>
      <c r="F30" s="247"/>
      <c r="G30" s="177">
        <f>G10+G25</f>
        <v>0</v>
      </c>
    </row>
    <row r="31" spans="1:11" ht="33" customHeight="1" x14ac:dyDescent="0.25">
      <c r="A31" s="78" t="s">
        <v>225</v>
      </c>
      <c r="B31" s="245" t="s">
        <v>370</v>
      </c>
      <c r="C31" s="246"/>
      <c r="D31" s="246"/>
      <c r="E31" s="246"/>
      <c r="F31" s="247"/>
      <c r="G31" s="177">
        <f>G30*12</f>
        <v>0</v>
      </c>
    </row>
    <row r="32" spans="1:11" ht="33" customHeight="1" x14ac:dyDescent="0.25">
      <c r="A32" s="78" t="s">
        <v>226</v>
      </c>
      <c r="B32" s="245" t="s">
        <v>371</v>
      </c>
      <c r="C32" s="246"/>
      <c r="D32" s="246"/>
      <c r="E32" s="246"/>
      <c r="F32" s="247"/>
      <c r="G32" s="177">
        <f>G30*30</f>
        <v>0</v>
      </c>
    </row>
    <row r="34" spans="1:7" ht="30" customHeight="1" x14ac:dyDescent="0.25">
      <c r="A34" s="243" t="s">
        <v>411</v>
      </c>
      <c r="B34" s="244"/>
      <c r="C34" s="244"/>
      <c r="D34" s="244"/>
      <c r="E34" s="244"/>
      <c r="F34" s="244"/>
      <c r="G34" s="193">
        <f>G31*5%</f>
        <v>0</v>
      </c>
    </row>
  </sheetData>
  <mergeCells count="18">
    <mergeCell ref="H6:H9"/>
    <mergeCell ref="C15:C16"/>
    <mergeCell ref="A15:B16"/>
    <mergeCell ref="B30:F30"/>
    <mergeCell ref="A1:G1"/>
    <mergeCell ref="A2:B2"/>
    <mergeCell ref="A14:G14"/>
    <mergeCell ref="B10:F10"/>
    <mergeCell ref="B11:F11"/>
    <mergeCell ref="B12:F12"/>
    <mergeCell ref="A3:B3"/>
    <mergeCell ref="A34:F34"/>
    <mergeCell ref="B31:F31"/>
    <mergeCell ref="B32:F32"/>
    <mergeCell ref="B25:F25"/>
    <mergeCell ref="B26:F26"/>
    <mergeCell ref="B27:F27"/>
    <mergeCell ref="A29:F29"/>
  </mergeCells>
  <printOptions horizontalCentered="1"/>
  <pageMargins left="0.39370078740157483" right="0.39370078740157483" top="0.78740157480314965" bottom="0.39370078740157483" header="0.11811023622047245" footer="0.11811023622047245"/>
  <pageSetup paperSize="9" scale="97" orientation="landscape" r:id="rId1"/>
  <headerFooter>
    <oddHeader>&amp;C&amp;G</oddHeader>
  </headerFooter>
  <rowBreaks count="2" manualBreakCount="2">
    <brk id="13" max="16383" man="1"/>
    <brk id="28" max="16383" man="1"/>
  </rowBreaks>
  <ignoredErrors>
    <ignoredError sqref="C7" 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9"/>
  <sheetViews>
    <sheetView zoomScaleNormal="100" workbookViewId="0">
      <selection activeCell="N20" sqref="N20"/>
    </sheetView>
  </sheetViews>
  <sheetFormatPr defaultRowHeight="15" x14ac:dyDescent="0.25"/>
  <cols>
    <col min="1" max="1" width="6.7109375" customWidth="1"/>
    <col min="2" max="2" width="7.7109375" customWidth="1"/>
    <col min="3" max="3" width="50.7109375" customWidth="1"/>
    <col min="4" max="5" width="11.7109375" customWidth="1"/>
    <col min="6" max="8" width="15.7109375" customWidth="1"/>
  </cols>
  <sheetData>
    <row r="1" spans="1:9" ht="20.25" x14ac:dyDescent="0.35">
      <c r="A1" s="259" t="s">
        <v>6</v>
      </c>
      <c r="B1" s="260"/>
      <c r="C1" s="260"/>
      <c r="D1" s="260"/>
      <c r="E1" s="260"/>
      <c r="F1" s="260"/>
      <c r="G1" s="260"/>
      <c r="H1" s="260"/>
    </row>
    <row r="2" spans="1:9" ht="17.25" x14ac:dyDescent="0.3">
      <c r="A2" s="261" t="s">
        <v>7</v>
      </c>
      <c r="B2" s="262"/>
      <c r="C2" s="262"/>
      <c r="D2" s="262"/>
      <c r="E2" s="262"/>
      <c r="F2" s="262"/>
      <c r="G2" s="262"/>
      <c r="H2" s="262"/>
    </row>
    <row r="3" spans="1:9" x14ac:dyDescent="0.25">
      <c r="A3" s="251" t="s">
        <v>8</v>
      </c>
      <c r="B3" s="251" t="s">
        <v>9</v>
      </c>
      <c r="C3" s="251" t="s">
        <v>11</v>
      </c>
      <c r="D3" s="263" t="s">
        <v>15</v>
      </c>
      <c r="E3" s="263"/>
      <c r="F3" s="264" t="s">
        <v>18</v>
      </c>
      <c r="G3" s="264"/>
      <c r="H3" s="265"/>
    </row>
    <row r="4" spans="1:9" ht="15.75" thickBot="1" x14ac:dyDescent="0.3">
      <c r="A4" s="251"/>
      <c r="B4" s="251"/>
      <c r="C4" s="251"/>
      <c r="D4" s="40" t="s">
        <v>16</v>
      </c>
      <c r="E4" s="41" t="s">
        <v>410</v>
      </c>
      <c r="F4" s="42" t="s">
        <v>19</v>
      </c>
      <c r="G4" s="43" t="s">
        <v>16</v>
      </c>
      <c r="H4" s="40" t="s">
        <v>410</v>
      </c>
      <c r="I4" s="10" t="s">
        <v>22</v>
      </c>
    </row>
    <row r="5" spans="1:9" ht="59.25" customHeight="1" x14ac:dyDescent="0.25">
      <c r="A5" s="2">
        <v>1</v>
      </c>
      <c r="B5" s="2" t="s">
        <v>10</v>
      </c>
      <c r="C5" s="3" t="s">
        <v>12</v>
      </c>
      <c r="D5" s="4">
        <v>250</v>
      </c>
      <c r="E5" s="5">
        <f>D5*12</f>
        <v>3000</v>
      </c>
      <c r="F5" s="225">
        <v>0</v>
      </c>
      <c r="G5" s="26">
        <f>D5*F5</f>
        <v>0</v>
      </c>
      <c r="H5" s="27">
        <f>E5*F5</f>
        <v>0</v>
      </c>
    </row>
    <row r="6" spans="1:9" ht="42.75" x14ac:dyDescent="0.25">
      <c r="A6" s="2">
        <v>2</v>
      </c>
      <c r="B6" s="2" t="s">
        <v>10</v>
      </c>
      <c r="C6" s="3" t="s">
        <v>13</v>
      </c>
      <c r="D6" s="4">
        <v>250</v>
      </c>
      <c r="E6" s="5">
        <f t="shared" ref="E6:E7" si="0">D6*12</f>
        <v>3000</v>
      </c>
      <c r="F6" s="226">
        <v>0</v>
      </c>
      <c r="G6" s="26">
        <f t="shared" ref="G6:G7" si="1">D6*F6</f>
        <v>0</v>
      </c>
      <c r="H6" s="27">
        <f t="shared" ref="H6:H7" si="2">E6*F6</f>
        <v>0</v>
      </c>
    </row>
    <row r="7" spans="1:9" ht="43.5" thickBot="1" x14ac:dyDescent="0.3">
      <c r="A7" s="6">
        <v>3</v>
      </c>
      <c r="B7" s="6" t="s">
        <v>10</v>
      </c>
      <c r="C7" s="7" t="s">
        <v>14</v>
      </c>
      <c r="D7" s="8">
        <v>250</v>
      </c>
      <c r="E7" s="9">
        <f t="shared" si="0"/>
        <v>3000</v>
      </c>
      <c r="F7" s="227">
        <v>0</v>
      </c>
      <c r="G7" s="26">
        <f t="shared" si="1"/>
        <v>0</v>
      </c>
      <c r="H7" s="27">
        <f t="shared" si="2"/>
        <v>0</v>
      </c>
    </row>
    <row r="8" spans="1:9" x14ac:dyDescent="0.25">
      <c r="A8" s="254" t="s">
        <v>20</v>
      </c>
      <c r="B8" s="255"/>
      <c r="C8" s="255"/>
      <c r="D8" s="255"/>
      <c r="E8" s="255"/>
      <c r="F8" s="256"/>
      <c r="G8" s="44">
        <f>SUM(G5:G7)</f>
        <v>0</v>
      </c>
      <c r="H8" s="45">
        <f>SUM(H5:H7)</f>
        <v>0</v>
      </c>
    </row>
    <row r="9" spans="1:9" x14ac:dyDescent="0.25">
      <c r="A9" s="257" t="s">
        <v>416</v>
      </c>
      <c r="B9" s="258"/>
      <c r="C9" s="258"/>
      <c r="D9" s="258"/>
      <c r="E9" s="258"/>
      <c r="F9" s="258"/>
      <c r="G9" s="258"/>
      <c r="H9" s="46">
        <f>G8/209</f>
        <v>0</v>
      </c>
    </row>
  </sheetData>
  <mergeCells count="9">
    <mergeCell ref="A8:F8"/>
    <mergeCell ref="A9:G9"/>
    <mergeCell ref="A1:H1"/>
    <mergeCell ref="A2:H2"/>
    <mergeCell ref="A3:A4"/>
    <mergeCell ref="B3:B4"/>
    <mergeCell ref="C3:C4"/>
    <mergeCell ref="D3:E3"/>
    <mergeCell ref="F3:H3"/>
  </mergeCells>
  <pageMargins left="0.51181102362204722" right="0.51181102362204722" top="0.78740157480314965" bottom="0.78740157480314965" header="0.11811023622047245" footer="0.11811023622047245"/>
  <pageSetup paperSize="9" orientation="landscape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4"/>
  <sheetViews>
    <sheetView zoomScaleNormal="100" workbookViewId="0">
      <selection activeCell="N20" sqref="N20"/>
    </sheetView>
  </sheetViews>
  <sheetFormatPr defaultRowHeight="15" x14ac:dyDescent="0.25"/>
  <cols>
    <col min="1" max="1" width="50.7109375" style="11" customWidth="1"/>
    <col min="2" max="3" width="11.7109375" style="11" customWidth="1"/>
    <col min="4" max="5" width="15.7109375" style="11" customWidth="1"/>
    <col min="6" max="16384" width="9.140625" style="11"/>
  </cols>
  <sheetData>
    <row r="1" spans="1:6" ht="21" thickBot="1" x14ac:dyDescent="0.3">
      <c r="A1" s="278" t="s">
        <v>21</v>
      </c>
      <c r="B1" s="279"/>
      <c r="C1" s="279"/>
      <c r="D1" s="279"/>
      <c r="E1" s="280"/>
    </row>
    <row r="2" spans="1:6" ht="7.5" customHeight="1" thickBot="1" x14ac:dyDescent="0.3">
      <c r="A2" s="12"/>
      <c r="B2" s="12"/>
      <c r="C2" s="12"/>
      <c r="D2" s="12"/>
      <c r="E2" s="12"/>
    </row>
    <row r="3" spans="1:6" ht="17.25" x14ac:dyDescent="0.25">
      <c r="A3" s="270" t="s">
        <v>341</v>
      </c>
      <c r="B3" s="271"/>
      <c r="C3" s="271"/>
      <c r="D3" s="271"/>
      <c r="E3" s="272"/>
    </row>
    <row r="4" spans="1:6" x14ac:dyDescent="0.25">
      <c r="A4" s="273" t="s">
        <v>11</v>
      </c>
      <c r="B4" s="275" t="s">
        <v>15</v>
      </c>
      <c r="C4" s="275"/>
      <c r="D4" s="276" t="s">
        <v>18</v>
      </c>
      <c r="E4" s="277"/>
    </row>
    <row r="5" spans="1:6" ht="15.75" thickBot="1" x14ac:dyDescent="0.3">
      <c r="A5" s="274"/>
      <c r="B5" s="40" t="s">
        <v>29</v>
      </c>
      <c r="C5" s="41" t="s">
        <v>410</v>
      </c>
      <c r="D5" s="42" t="s">
        <v>19</v>
      </c>
      <c r="E5" s="63" t="s">
        <v>20</v>
      </c>
      <c r="F5" s="1" t="s">
        <v>22</v>
      </c>
    </row>
    <row r="6" spans="1:6" ht="28.5" x14ac:dyDescent="0.25">
      <c r="A6" s="64" t="s">
        <v>24</v>
      </c>
      <c r="B6" s="4">
        <v>2</v>
      </c>
      <c r="C6" s="5">
        <f>B6*2</f>
        <v>4</v>
      </c>
      <c r="D6" s="225">
        <v>0</v>
      </c>
      <c r="E6" s="65">
        <f>C6*D6</f>
        <v>0</v>
      </c>
    </row>
    <row r="7" spans="1:6" ht="42.75" x14ac:dyDescent="0.25">
      <c r="A7" s="64" t="s">
        <v>25</v>
      </c>
      <c r="B7" s="4">
        <v>2</v>
      </c>
      <c r="C7" s="5">
        <f t="shared" ref="C7:C10" si="0">B7*2</f>
        <v>4</v>
      </c>
      <c r="D7" s="226">
        <v>0</v>
      </c>
      <c r="E7" s="65">
        <f t="shared" ref="E7:E8" si="1">C7*D7</f>
        <v>0</v>
      </c>
    </row>
    <row r="8" spans="1:6" ht="28.5" x14ac:dyDescent="0.25">
      <c r="A8" s="64" t="s">
        <v>26</v>
      </c>
      <c r="B8" s="4">
        <v>2</v>
      </c>
      <c r="C8" s="5">
        <f t="shared" si="0"/>
        <v>4</v>
      </c>
      <c r="D8" s="226">
        <v>0</v>
      </c>
      <c r="E8" s="65">
        <f t="shared" si="1"/>
        <v>0</v>
      </c>
    </row>
    <row r="9" spans="1:6" ht="42.75" x14ac:dyDescent="0.25">
      <c r="A9" s="64" t="s">
        <v>27</v>
      </c>
      <c r="B9" s="4">
        <v>1</v>
      </c>
      <c r="C9" s="5">
        <f t="shared" si="0"/>
        <v>2</v>
      </c>
      <c r="D9" s="226">
        <v>0</v>
      </c>
      <c r="E9" s="65">
        <f t="shared" ref="E9:E10" si="2">C9*D9</f>
        <v>0</v>
      </c>
    </row>
    <row r="10" spans="1:6" ht="29.25" thickBot="1" x14ac:dyDescent="0.3">
      <c r="A10" s="66" t="s">
        <v>28</v>
      </c>
      <c r="B10" s="8">
        <v>4</v>
      </c>
      <c r="C10" s="9">
        <f t="shared" si="0"/>
        <v>8</v>
      </c>
      <c r="D10" s="227">
        <v>0</v>
      </c>
      <c r="E10" s="67">
        <f t="shared" si="2"/>
        <v>0</v>
      </c>
    </row>
    <row r="11" spans="1:6" x14ac:dyDescent="0.25">
      <c r="A11" s="266" t="s">
        <v>31</v>
      </c>
      <c r="B11" s="258"/>
      <c r="C11" s="258"/>
      <c r="D11" s="267"/>
      <c r="E11" s="68">
        <f>SUM(E6:E10)</f>
        <v>0</v>
      </c>
    </row>
    <row r="12" spans="1:6" ht="15.75" thickBot="1" x14ac:dyDescent="0.3">
      <c r="A12" s="268" t="s">
        <v>30</v>
      </c>
      <c r="B12" s="269"/>
      <c r="C12" s="269"/>
      <c r="D12" s="269"/>
      <c r="E12" s="69">
        <f>E11/30</f>
        <v>0</v>
      </c>
    </row>
    <row r="13" spans="1:6" ht="7.5" customHeight="1" thickBot="1" x14ac:dyDescent="0.3"/>
    <row r="14" spans="1:6" ht="17.25" x14ac:dyDescent="0.25">
      <c r="A14" s="270" t="s">
        <v>32</v>
      </c>
      <c r="B14" s="271"/>
      <c r="C14" s="271"/>
      <c r="D14" s="271"/>
      <c r="E14" s="272"/>
    </row>
    <row r="15" spans="1:6" x14ac:dyDescent="0.25">
      <c r="A15" s="273" t="s">
        <v>11</v>
      </c>
      <c r="B15" s="275" t="s">
        <v>15</v>
      </c>
      <c r="C15" s="275"/>
      <c r="D15" s="276" t="s">
        <v>18</v>
      </c>
      <c r="E15" s="277"/>
    </row>
    <row r="16" spans="1:6" ht="15.75" thickBot="1" x14ac:dyDescent="0.3">
      <c r="A16" s="274"/>
      <c r="B16" s="40" t="s">
        <v>29</v>
      </c>
      <c r="C16" s="41" t="s">
        <v>410</v>
      </c>
      <c r="D16" s="42" t="s">
        <v>19</v>
      </c>
      <c r="E16" s="63" t="s">
        <v>20</v>
      </c>
      <c r="F16" s="1"/>
    </row>
    <row r="17" spans="1:5" ht="28.5" x14ac:dyDescent="0.25">
      <c r="A17" s="64" t="s">
        <v>36</v>
      </c>
      <c r="B17" s="4">
        <v>2</v>
      </c>
      <c r="C17" s="5">
        <f>B17*2</f>
        <v>4</v>
      </c>
      <c r="D17" s="225">
        <v>0</v>
      </c>
      <c r="E17" s="65">
        <f>C17*D17</f>
        <v>0</v>
      </c>
    </row>
    <row r="18" spans="1:5" ht="28.5" x14ac:dyDescent="0.25">
      <c r="A18" s="64" t="s">
        <v>35</v>
      </c>
      <c r="B18" s="4">
        <v>2</v>
      </c>
      <c r="C18" s="5">
        <f t="shared" ref="C18:C22" si="3">B18*2</f>
        <v>4</v>
      </c>
      <c r="D18" s="226">
        <v>0</v>
      </c>
      <c r="E18" s="65">
        <f t="shared" ref="E18:E22" si="4">C18*D18</f>
        <v>0</v>
      </c>
    </row>
    <row r="19" spans="1:5" ht="28.5" x14ac:dyDescent="0.25">
      <c r="A19" s="64" t="s">
        <v>38</v>
      </c>
      <c r="B19" s="4">
        <v>4</v>
      </c>
      <c r="C19" s="5">
        <f t="shared" si="3"/>
        <v>8</v>
      </c>
      <c r="D19" s="226">
        <v>0</v>
      </c>
      <c r="E19" s="65">
        <f t="shared" si="4"/>
        <v>0</v>
      </c>
    </row>
    <row r="20" spans="1:5" x14ac:dyDescent="0.25">
      <c r="A20" s="64" t="s">
        <v>33</v>
      </c>
      <c r="B20" s="4">
        <v>1</v>
      </c>
      <c r="C20" s="5">
        <f t="shared" si="3"/>
        <v>2</v>
      </c>
      <c r="D20" s="226">
        <v>0</v>
      </c>
      <c r="E20" s="65">
        <f t="shared" si="4"/>
        <v>0</v>
      </c>
    </row>
    <row r="21" spans="1:5" ht="42.75" x14ac:dyDescent="0.25">
      <c r="A21" s="66" t="s">
        <v>34</v>
      </c>
      <c r="B21" s="8">
        <v>2</v>
      </c>
      <c r="C21" s="5">
        <f t="shared" si="3"/>
        <v>4</v>
      </c>
      <c r="D21" s="226">
        <v>0</v>
      </c>
      <c r="E21" s="65">
        <f t="shared" si="4"/>
        <v>0</v>
      </c>
    </row>
    <row r="22" spans="1:5" ht="29.25" thickBot="1" x14ac:dyDescent="0.3">
      <c r="A22" s="66" t="s">
        <v>37</v>
      </c>
      <c r="B22" s="8">
        <v>1</v>
      </c>
      <c r="C22" s="9">
        <f t="shared" si="3"/>
        <v>2</v>
      </c>
      <c r="D22" s="227">
        <v>0</v>
      </c>
      <c r="E22" s="67">
        <f t="shared" si="4"/>
        <v>0</v>
      </c>
    </row>
    <row r="23" spans="1:5" x14ac:dyDescent="0.25">
      <c r="A23" s="266" t="s">
        <v>31</v>
      </c>
      <c r="B23" s="258"/>
      <c r="C23" s="258"/>
      <c r="D23" s="267"/>
      <c r="E23" s="68">
        <f>SUM(E17:E22)</f>
        <v>0</v>
      </c>
    </row>
    <row r="24" spans="1:5" ht="15.75" thickBot="1" x14ac:dyDescent="0.3">
      <c r="A24" s="268" t="s">
        <v>30</v>
      </c>
      <c r="B24" s="269"/>
      <c r="C24" s="269"/>
      <c r="D24" s="269"/>
      <c r="E24" s="69">
        <f>E23/30</f>
        <v>0</v>
      </c>
    </row>
  </sheetData>
  <mergeCells count="13">
    <mergeCell ref="A1:E1"/>
    <mergeCell ref="A3:E3"/>
    <mergeCell ref="A4:A5"/>
    <mergeCell ref="B4:C4"/>
    <mergeCell ref="D4:E4"/>
    <mergeCell ref="A23:D23"/>
    <mergeCell ref="A24:D24"/>
    <mergeCell ref="A11:D11"/>
    <mergeCell ref="A12:D12"/>
    <mergeCell ref="A14:E14"/>
    <mergeCell ref="A15:A16"/>
    <mergeCell ref="B15:C15"/>
    <mergeCell ref="D15:E15"/>
  </mergeCells>
  <printOptions horizontalCentered="1"/>
  <pageMargins left="0.51181102362204722" right="0.51181102362204722" top="0.78740157480314965" bottom="0.39370078740157483" header="0.11811023622047245" footer="0.11811023622047245"/>
  <pageSetup paperSize="9" scale="98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7"/>
  <sheetViews>
    <sheetView zoomScaleNormal="100" workbookViewId="0">
      <pane ySplit="4" topLeftCell="A5" activePane="bottomLeft" state="frozen"/>
      <selection activeCell="N20" sqref="N20"/>
      <selection pane="bottomLeft" activeCell="N20" sqref="N20"/>
    </sheetView>
  </sheetViews>
  <sheetFormatPr defaultRowHeight="14.25" x14ac:dyDescent="0.25"/>
  <cols>
    <col min="1" max="1" width="5.7109375" style="13" customWidth="1"/>
    <col min="2" max="2" width="60.7109375" style="13" customWidth="1"/>
    <col min="3" max="3" width="22.7109375" style="13" customWidth="1"/>
    <col min="4" max="4" width="6.7109375" style="13" customWidth="1"/>
    <col min="5" max="5" width="7.7109375" style="13" customWidth="1"/>
    <col min="6" max="7" width="15.7109375" style="13" customWidth="1"/>
    <col min="8" max="16384" width="9.140625" style="13"/>
  </cols>
  <sheetData>
    <row r="1" spans="1:8" ht="20.25" x14ac:dyDescent="0.25">
      <c r="A1" s="284" t="s">
        <v>135</v>
      </c>
      <c r="B1" s="284"/>
      <c r="C1" s="284"/>
      <c r="D1" s="284"/>
      <c r="E1" s="284"/>
      <c r="F1" s="284"/>
      <c r="G1" s="284"/>
    </row>
    <row r="2" spans="1:8" ht="17.25" x14ac:dyDescent="0.25">
      <c r="A2" s="250" t="s">
        <v>76</v>
      </c>
      <c r="B2" s="250"/>
      <c r="C2" s="250"/>
      <c r="D2" s="250"/>
      <c r="E2" s="250"/>
      <c r="F2" s="250"/>
      <c r="G2" s="250"/>
    </row>
    <row r="3" spans="1:8" x14ac:dyDescent="0.25">
      <c r="A3" s="253" t="s">
        <v>8</v>
      </c>
      <c r="B3" s="253" t="s">
        <v>11</v>
      </c>
      <c r="C3" s="285" t="s">
        <v>132</v>
      </c>
      <c r="D3" s="253" t="s">
        <v>77</v>
      </c>
      <c r="E3" s="253" t="s">
        <v>131</v>
      </c>
      <c r="F3" s="253" t="s">
        <v>18</v>
      </c>
      <c r="G3" s="253"/>
    </row>
    <row r="4" spans="1:8" ht="15" thickBot="1" x14ac:dyDescent="0.3">
      <c r="A4" s="253"/>
      <c r="B4" s="253"/>
      <c r="C4" s="285"/>
      <c r="D4" s="253"/>
      <c r="E4" s="253"/>
      <c r="F4" s="35" t="s">
        <v>19</v>
      </c>
      <c r="G4" s="36" t="s">
        <v>163</v>
      </c>
      <c r="H4" s="10" t="s">
        <v>22</v>
      </c>
    </row>
    <row r="5" spans="1:8" x14ac:dyDescent="0.25">
      <c r="A5" s="14">
        <v>1</v>
      </c>
      <c r="B5" s="15" t="s">
        <v>78</v>
      </c>
      <c r="C5" s="15" t="s">
        <v>41</v>
      </c>
      <c r="D5" s="15" t="s">
        <v>39</v>
      </c>
      <c r="E5" s="16">
        <v>350</v>
      </c>
      <c r="F5" s="228">
        <v>0</v>
      </c>
      <c r="G5" s="28">
        <f>E5*F5</f>
        <v>0</v>
      </c>
    </row>
    <row r="6" spans="1:8" x14ac:dyDescent="0.25">
      <c r="A6" s="14">
        <f>A5+1</f>
        <v>2</v>
      </c>
      <c r="B6" s="15" t="s">
        <v>79</v>
      </c>
      <c r="C6" s="15" t="s">
        <v>42</v>
      </c>
      <c r="D6" s="15" t="s">
        <v>40</v>
      </c>
      <c r="E6" s="16">
        <v>50</v>
      </c>
      <c r="F6" s="229">
        <v>0</v>
      </c>
      <c r="G6" s="28">
        <f t="shared" ref="G6:G64" si="0">E6*F6</f>
        <v>0</v>
      </c>
    </row>
    <row r="7" spans="1:8" x14ac:dyDescent="0.25">
      <c r="A7" s="14">
        <f t="shared" ref="A7:A64" si="1">A6+1</f>
        <v>3</v>
      </c>
      <c r="B7" s="15" t="s">
        <v>80</v>
      </c>
      <c r="C7" s="15" t="s">
        <v>43</v>
      </c>
      <c r="D7" s="15" t="s">
        <v>40</v>
      </c>
      <c r="E7" s="16">
        <v>500</v>
      </c>
      <c r="F7" s="229">
        <v>0</v>
      </c>
      <c r="G7" s="28">
        <f t="shared" si="0"/>
        <v>0</v>
      </c>
    </row>
    <row r="8" spans="1:8" x14ac:dyDescent="0.25">
      <c r="A8" s="14">
        <f t="shared" si="1"/>
        <v>4</v>
      </c>
      <c r="B8" s="15" t="s">
        <v>81</v>
      </c>
      <c r="C8" s="15" t="s">
        <v>43</v>
      </c>
      <c r="D8" s="15" t="s">
        <v>40</v>
      </c>
      <c r="E8" s="16">
        <v>450</v>
      </c>
      <c r="F8" s="229">
        <v>0</v>
      </c>
      <c r="G8" s="28">
        <f t="shared" si="0"/>
        <v>0</v>
      </c>
    </row>
    <row r="9" spans="1:8" x14ac:dyDescent="0.25">
      <c r="A9" s="14">
        <f t="shared" si="1"/>
        <v>5</v>
      </c>
      <c r="B9" s="15" t="s">
        <v>134</v>
      </c>
      <c r="C9" s="15" t="s">
        <v>44</v>
      </c>
      <c r="D9" s="15" t="s">
        <v>39</v>
      </c>
      <c r="E9" s="16">
        <v>150</v>
      </c>
      <c r="F9" s="229">
        <v>0</v>
      </c>
      <c r="G9" s="28">
        <f t="shared" si="0"/>
        <v>0</v>
      </c>
    </row>
    <row r="10" spans="1:8" x14ac:dyDescent="0.25">
      <c r="A10" s="14">
        <f t="shared" si="1"/>
        <v>6</v>
      </c>
      <c r="B10" s="15" t="s">
        <v>82</v>
      </c>
      <c r="C10" s="15" t="s">
        <v>45</v>
      </c>
      <c r="D10" s="15" t="s">
        <v>39</v>
      </c>
      <c r="E10" s="16">
        <v>103</v>
      </c>
      <c r="F10" s="229">
        <v>0</v>
      </c>
      <c r="G10" s="28">
        <f t="shared" si="0"/>
        <v>0</v>
      </c>
    </row>
    <row r="11" spans="1:8" x14ac:dyDescent="0.25">
      <c r="A11" s="14">
        <f t="shared" si="1"/>
        <v>7</v>
      </c>
      <c r="B11" s="15" t="s">
        <v>83</v>
      </c>
      <c r="C11" s="15" t="s">
        <v>45</v>
      </c>
      <c r="D11" s="15" t="s">
        <v>39</v>
      </c>
      <c r="E11" s="16">
        <v>60</v>
      </c>
      <c r="F11" s="229">
        <v>0</v>
      </c>
      <c r="G11" s="28">
        <f t="shared" si="0"/>
        <v>0</v>
      </c>
    </row>
    <row r="12" spans="1:8" x14ac:dyDescent="0.25">
      <c r="A12" s="14">
        <f t="shared" si="1"/>
        <v>8</v>
      </c>
      <c r="B12" s="15" t="s">
        <v>84</v>
      </c>
      <c r="C12" s="15" t="s">
        <v>46</v>
      </c>
      <c r="D12" s="15" t="s">
        <v>39</v>
      </c>
      <c r="E12" s="16">
        <v>100</v>
      </c>
      <c r="F12" s="229">
        <v>0</v>
      </c>
      <c r="G12" s="28">
        <f t="shared" si="0"/>
        <v>0</v>
      </c>
    </row>
    <row r="13" spans="1:8" x14ac:dyDescent="0.25">
      <c r="A13" s="14">
        <f t="shared" si="1"/>
        <v>9</v>
      </c>
      <c r="B13" s="15" t="s">
        <v>85</v>
      </c>
      <c r="C13" s="15" t="s">
        <v>47</v>
      </c>
      <c r="D13" s="15" t="s">
        <v>39</v>
      </c>
      <c r="E13" s="16">
        <v>20</v>
      </c>
      <c r="F13" s="229">
        <v>0</v>
      </c>
      <c r="G13" s="28">
        <f t="shared" si="0"/>
        <v>0</v>
      </c>
    </row>
    <row r="14" spans="1:8" x14ac:dyDescent="0.25">
      <c r="A14" s="14">
        <f t="shared" si="1"/>
        <v>10</v>
      </c>
      <c r="B14" s="15" t="s">
        <v>86</v>
      </c>
      <c r="C14" s="15" t="s">
        <v>46</v>
      </c>
      <c r="D14" s="15" t="s">
        <v>39</v>
      </c>
      <c r="E14" s="16">
        <v>220</v>
      </c>
      <c r="F14" s="229">
        <v>0</v>
      </c>
      <c r="G14" s="28">
        <f t="shared" si="0"/>
        <v>0</v>
      </c>
    </row>
    <row r="15" spans="1:8" x14ac:dyDescent="0.25">
      <c r="A15" s="14">
        <f t="shared" si="1"/>
        <v>11</v>
      </c>
      <c r="B15" s="15" t="s">
        <v>425</v>
      </c>
      <c r="C15" s="15" t="s">
        <v>48</v>
      </c>
      <c r="D15" s="15" t="s">
        <v>39</v>
      </c>
      <c r="E15" s="16">
        <v>1000</v>
      </c>
      <c r="F15" s="229">
        <v>0</v>
      </c>
      <c r="G15" s="28">
        <f t="shared" si="0"/>
        <v>0</v>
      </c>
    </row>
    <row r="16" spans="1:8" x14ac:dyDescent="0.25">
      <c r="A16" s="14">
        <f t="shared" si="1"/>
        <v>12</v>
      </c>
      <c r="B16" s="15" t="s">
        <v>87</v>
      </c>
      <c r="C16" s="15" t="s">
        <v>49</v>
      </c>
      <c r="D16" s="15" t="s">
        <v>39</v>
      </c>
      <c r="E16" s="16">
        <v>300</v>
      </c>
      <c r="F16" s="229">
        <v>0</v>
      </c>
      <c r="G16" s="28">
        <f t="shared" si="0"/>
        <v>0</v>
      </c>
    </row>
    <row r="17" spans="1:7" x14ac:dyDescent="0.25">
      <c r="A17" s="14">
        <f t="shared" si="1"/>
        <v>13</v>
      </c>
      <c r="B17" s="15" t="s">
        <v>88</v>
      </c>
      <c r="C17" s="15" t="s">
        <v>46</v>
      </c>
      <c r="D17" s="15" t="s">
        <v>39</v>
      </c>
      <c r="E17" s="16">
        <v>200</v>
      </c>
      <c r="F17" s="229">
        <v>0</v>
      </c>
      <c r="G17" s="28">
        <f t="shared" si="0"/>
        <v>0</v>
      </c>
    </row>
    <row r="18" spans="1:7" x14ac:dyDescent="0.25">
      <c r="A18" s="14">
        <f t="shared" si="1"/>
        <v>14</v>
      </c>
      <c r="B18" s="15" t="s">
        <v>89</v>
      </c>
      <c r="C18" s="15" t="s">
        <v>50</v>
      </c>
      <c r="D18" s="15" t="s">
        <v>39</v>
      </c>
      <c r="E18" s="16">
        <v>24</v>
      </c>
      <c r="F18" s="229">
        <v>0</v>
      </c>
      <c r="G18" s="28">
        <f t="shared" si="0"/>
        <v>0</v>
      </c>
    </row>
    <row r="19" spans="1:7" x14ac:dyDescent="0.25">
      <c r="A19" s="14">
        <f t="shared" si="1"/>
        <v>15</v>
      </c>
      <c r="B19" s="15" t="s">
        <v>90</v>
      </c>
      <c r="C19" s="15" t="s">
        <v>50</v>
      </c>
      <c r="D19" s="15" t="s">
        <v>39</v>
      </c>
      <c r="E19" s="16">
        <v>24</v>
      </c>
      <c r="F19" s="229">
        <v>0</v>
      </c>
      <c r="G19" s="28">
        <f t="shared" si="0"/>
        <v>0</v>
      </c>
    </row>
    <row r="20" spans="1:7" x14ac:dyDescent="0.25">
      <c r="A20" s="14">
        <f t="shared" si="1"/>
        <v>16</v>
      </c>
      <c r="B20" s="15" t="s">
        <v>91</v>
      </c>
      <c r="C20" s="15" t="s">
        <v>50</v>
      </c>
      <c r="D20" s="15" t="s">
        <v>39</v>
      </c>
      <c r="E20" s="16">
        <v>6</v>
      </c>
      <c r="F20" s="229">
        <v>0</v>
      </c>
      <c r="G20" s="28">
        <f t="shared" si="0"/>
        <v>0</v>
      </c>
    </row>
    <row r="21" spans="1:7" x14ac:dyDescent="0.25">
      <c r="A21" s="14">
        <f t="shared" si="1"/>
        <v>17</v>
      </c>
      <c r="B21" s="15" t="s">
        <v>92</v>
      </c>
      <c r="C21" s="15" t="s">
        <v>51</v>
      </c>
      <c r="D21" s="15" t="s">
        <v>39</v>
      </c>
      <c r="E21" s="16">
        <v>10</v>
      </c>
      <c r="F21" s="229">
        <v>0</v>
      </c>
      <c r="G21" s="28">
        <f t="shared" si="0"/>
        <v>0</v>
      </c>
    </row>
    <row r="22" spans="1:7" x14ac:dyDescent="0.25">
      <c r="A22" s="14">
        <f t="shared" si="1"/>
        <v>18</v>
      </c>
      <c r="B22" s="15" t="s">
        <v>93</v>
      </c>
      <c r="C22" s="15" t="s">
        <v>50</v>
      </c>
      <c r="D22" s="15" t="s">
        <v>39</v>
      </c>
      <c r="E22" s="16">
        <v>100</v>
      </c>
      <c r="F22" s="229">
        <v>0</v>
      </c>
      <c r="G22" s="28">
        <f t="shared" si="0"/>
        <v>0</v>
      </c>
    </row>
    <row r="23" spans="1:7" x14ac:dyDescent="0.25">
      <c r="A23" s="14">
        <f t="shared" si="1"/>
        <v>19</v>
      </c>
      <c r="B23" s="15" t="s">
        <v>426</v>
      </c>
      <c r="C23" s="15" t="s">
        <v>52</v>
      </c>
      <c r="D23" s="15" t="s">
        <v>39</v>
      </c>
      <c r="E23" s="16">
        <v>50</v>
      </c>
      <c r="F23" s="229">
        <v>0</v>
      </c>
      <c r="G23" s="28">
        <f t="shared" si="0"/>
        <v>0</v>
      </c>
    </row>
    <row r="24" spans="1:7" x14ac:dyDescent="0.25">
      <c r="A24" s="14">
        <f t="shared" si="1"/>
        <v>20</v>
      </c>
      <c r="B24" s="15" t="s">
        <v>94</v>
      </c>
      <c r="C24" s="15" t="s">
        <v>53</v>
      </c>
      <c r="D24" s="15" t="s">
        <v>39</v>
      </c>
      <c r="E24" s="16">
        <v>6</v>
      </c>
      <c r="F24" s="229">
        <v>0</v>
      </c>
      <c r="G24" s="28">
        <f t="shared" si="0"/>
        <v>0</v>
      </c>
    </row>
    <row r="25" spans="1:7" x14ac:dyDescent="0.25">
      <c r="A25" s="14">
        <f t="shared" si="1"/>
        <v>21</v>
      </c>
      <c r="B25" s="15" t="s">
        <v>95</v>
      </c>
      <c r="C25" s="15" t="s">
        <v>54</v>
      </c>
      <c r="D25" s="15" t="s">
        <v>39</v>
      </c>
      <c r="E25" s="16">
        <v>600</v>
      </c>
      <c r="F25" s="229">
        <v>0</v>
      </c>
      <c r="G25" s="28">
        <f t="shared" si="0"/>
        <v>0</v>
      </c>
    </row>
    <row r="26" spans="1:7" x14ac:dyDescent="0.25">
      <c r="A26" s="14">
        <f t="shared" si="1"/>
        <v>22</v>
      </c>
      <c r="B26" s="15" t="s">
        <v>96</v>
      </c>
      <c r="C26" s="15" t="s">
        <v>55</v>
      </c>
      <c r="D26" s="15" t="s">
        <v>39</v>
      </c>
      <c r="E26" s="16">
        <v>250</v>
      </c>
      <c r="F26" s="229">
        <v>0</v>
      </c>
      <c r="G26" s="28">
        <f t="shared" si="0"/>
        <v>0</v>
      </c>
    </row>
    <row r="27" spans="1:7" x14ac:dyDescent="0.25">
      <c r="A27" s="14">
        <f t="shared" si="1"/>
        <v>23</v>
      </c>
      <c r="B27" s="15" t="s">
        <v>97</v>
      </c>
      <c r="C27" s="15" t="s">
        <v>46</v>
      </c>
      <c r="D27" s="15" t="s">
        <v>39</v>
      </c>
      <c r="E27" s="16">
        <v>30</v>
      </c>
      <c r="F27" s="229">
        <v>0</v>
      </c>
      <c r="G27" s="28">
        <f t="shared" si="0"/>
        <v>0</v>
      </c>
    </row>
    <row r="28" spans="1:7" x14ac:dyDescent="0.25">
      <c r="A28" s="14">
        <f t="shared" si="1"/>
        <v>24</v>
      </c>
      <c r="B28" s="15" t="s">
        <v>98</v>
      </c>
      <c r="C28" s="15" t="s">
        <v>56</v>
      </c>
      <c r="D28" s="15" t="s">
        <v>39</v>
      </c>
      <c r="E28" s="16">
        <v>300</v>
      </c>
      <c r="F28" s="229">
        <v>0</v>
      </c>
      <c r="G28" s="28">
        <f t="shared" si="0"/>
        <v>0</v>
      </c>
    </row>
    <row r="29" spans="1:7" x14ac:dyDescent="0.25">
      <c r="A29" s="14">
        <f t="shared" si="1"/>
        <v>25</v>
      </c>
      <c r="B29" s="15" t="s">
        <v>99</v>
      </c>
      <c r="C29" s="15" t="s">
        <v>58</v>
      </c>
      <c r="D29" s="15" t="s">
        <v>57</v>
      </c>
      <c r="E29" s="16">
        <v>200</v>
      </c>
      <c r="F29" s="229">
        <v>0</v>
      </c>
      <c r="G29" s="28">
        <f t="shared" si="0"/>
        <v>0</v>
      </c>
    </row>
    <row r="30" spans="1:7" x14ac:dyDescent="0.25">
      <c r="A30" s="14">
        <f t="shared" si="1"/>
        <v>26</v>
      </c>
      <c r="B30" s="15" t="s">
        <v>100</v>
      </c>
      <c r="C30" s="15" t="s">
        <v>59</v>
      </c>
      <c r="D30" s="15" t="s">
        <v>39</v>
      </c>
      <c r="E30" s="16">
        <v>40</v>
      </c>
      <c r="F30" s="229">
        <v>0</v>
      </c>
      <c r="G30" s="28">
        <f t="shared" si="0"/>
        <v>0</v>
      </c>
    </row>
    <row r="31" spans="1:7" x14ac:dyDescent="0.25">
      <c r="A31" s="14">
        <f t="shared" si="1"/>
        <v>27</v>
      </c>
      <c r="B31" s="15" t="s">
        <v>101</v>
      </c>
      <c r="C31" s="15" t="s">
        <v>46</v>
      </c>
      <c r="D31" s="15" t="s">
        <v>39</v>
      </c>
      <c r="E31" s="16">
        <v>200</v>
      </c>
      <c r="F31" s="229">
        <v>0</v>
      </c>
      <c r="G31" s="28">
        <f t="shared" si="0"/>
        <v>0</v>
      </c>
    </row>
    <row r="32" spans="1:7" x14ac:dyDescent="0.25">
      <c r="A32" s="14">
        <f t="shared" si="1"/>
        <v>28</v>
      </c>
      <c r="B32" s="15" t="s">
        <v>102</v>
      </c>
      <c r="C32" s="15" t="s">
        <v>60</v>
      </c>
      <c r="D32" s="15" t="s">
        <v>39</v>
      </c>
      <c r="E32" s="16">
        <v>150</v>
      </c>
      <c r="F32" s="229">
        <v>0</v>
      </c>
      <c r="G32" s="28">
        <f t="shared" si="0"/>
        <v>0</v>
      </c>
    </row>
    <row r="33" spans="1:7" x14ac:dyDescent="0.25">
      <c r="A33" s="14">
        <f t="shared" si="1"/>
        <v>29</v>
      </c>
      <c r="B33" s="15" t="s">
        <v>103</v>
      </c>
      <c r="C33" s="15" t="s">
        <v>47</v>
      </c>
      <c r="D33" s="15" t="s">
        <v>39</v>
      </c>
      <c r="E33" s="16">
        <v>250</v>
      </c>
      <c r="F33" s="229">
        <v>0</v>
      </c>
      <c r="G33" s="28">
        <f t="shared" si="0"/>
        <v>0</v>
      </c>
    </row>
    <row r="34" spans="1:7" x14ac:dyDescent="0.25">
      <c r="A34" s="14">
        <f t="shared" si="1"/>
        <v>30</v>
      </c>
      <c r="B34" s="15" t="s">
        <v>104</v>
      </c>
      <c r="C34" s="15" t="s">
        <v>50</v>
      </c>
      <c r="D34" s="15" t="s">
        <v>39</v>
      </c>
      <c r="E34" s="16">
        <v>150</v>
      </c>
      <c r="F34" s="229">
        <v>0</v>
      </c>
      <c r="G34" s="28">
        <f t="shared" si="0"/>
        <v>0</v>
      </c>
    </row>
    <row r="35" spans="1:7" x14ac:dyDescent="0.25">
      <c r="A35" s="14">
        <f t="shared" si="1"/>
        <v>31</v>
      </c>
      <c r="B35" s="15" t="s">
        <v>427</v>
      </c>
      <c r="C35" s="15" t="s">
        <v>61</v>
      </c>
      <c r="D35" s="15" t="s">
        <v>128</v>
      </c>
      <c r="E35" s="16">
        <v>5</v>
      </c>
      <c r="F35" s="229">
        <v>0</v>
      </c>
      <c r="G35" s="28">
        <f t="shared" si="0"/>
        <v>0</v>
      </c>
    </row>
    <row r="36" spans="1:7" x14ac:dyDescent="0.25">
      <c r="A36" s="14">
        <f t="shared" si="1"/>
        <v>32</v>
      </c>
      <c r="B36" s="15" t="s">
        <v>105</v>
      </c>
      <c r="C36" s="15" t="s">
        <v>62</v>
      </c>
      <c r="D36" s="15" t="s">
        <v>39</v>
      </c>
      <c r="E36" s="16">
        <v>175</v>
      </c>
      <c r="F36" s="229">
        <v>0</v>
      </c>
      <c r="G36" s="28">
        <f t="shared" si="0"/>
        <v>0</v>
      </c>
    </row>
    <row r="37" spans="1:7" x14ac:dyDescent="0.25">
      <c r="A37" s="14">
        <f t="shared" si="1"/>
        <v>33</v>
      </c>
      <c r="B37" s="15" t="s">
        <v>106</v>
      </c>
      <c r="C37" s="15" t="s">
        <v>63</v>
      </c>
      <c r="D37" s="15" t="s">
        <v>39</v>
      </c>
      <c r="E37" s="16">
        <v>120</v>
      </c>
      <c r="F37" s="229">
        <v>0</v>
      </c>
      <c r="G37" s="28">
        <f t="shared" si="0"/>
        <v>0</v>
      </c>
    </row>
    <row r="38" spans="1:7" x14ac:dyDescent="0.25">
      <c r="A38" s="14">
        <f t="shared" si="1"/>
        <v>34</v>
      </c>
      <c r="B38" s="15" t="s">
        <v>107</v>
      </c>
      <c r="C38" s="15" t="s">
        <v>55</v>
      </c>
      <c r="D38" s="15" t="s">
        <v>39</v>
      </c>
      <c r="E38" s="16">
        <v>500</v>
      </c>
      <c r="F38" s="229">
        <v>0</v>
      </c>
      <c r="G38" s="28">
        <f t="shared" si="0"/>
        <v>0</v>
      </c>
    </row>
    <row r="39" spans="1:7" x14ac:dyDescent="0.25">
      <c r="A39" s="14">
        <f t="shared" si="1"/>
        <v>35</v>
      </c>
      <c r="B39" s="15" t="s">
        <v>428</v>
      </c>
      <c r="C39" s="15" t="s">
        <v>64</v>
      </c>
      <c r="D39" s="15" t="s">
        <v>129</v>
      </c>
      <c r="E39" s="16">
        <v>600</v>
      </c>
      <c r="F39" s="229">
        <v>0</v>
      </c>
      <c r="G39" s="28">
        <f t="shared" si="0"/>
        <v>0</v>
      </c>
    </row>
    <row r="40" spans="1:7" x14ac:dyDescent="0.25">
      <c r="A40" s="14">
        <f t="shared" si="1"/>
        <v>36</v>
      </c>
      <c r="B40" s="15" t="s">
        <v>429</v>
      </c>
      <c r="C40" s="15" t="s">
        <v>65</v>
      </c>
      <c r="D40" s="15" t="s">
        <v>129</v>
      </c>
      <c r="E40" s="16">
        <v>1000</v>
      </c>
      <c r="F40" s="229">
        <v>0</v>
      </c>
      <c r="G40" s="28">
        <f t="shared" si="0"/>
        <v>0</v>
      </c>
    </row>
    <row r="41" spans="1:7" x14ac:dyDescent="0.25">
      <c r="A41" s="14">
        <f t="shared" si="1"/>
        <v>37</v>
      </c>
      <c r="B41" s="15" t="s">
        <v>430</v>
      </c>
      <c r="C41" s="15" t="s">
        <v>50</v>
      </c>
      <c r="D41" s="15" t="s">
        <v>66</v>
      </c>
      <c r="E41" s="16">
        <v>30</v>
      </c>
      <c r="F41" s="229">
        <v>0</v>
      </c>
      <c r="G41" s="28">
        <f t="shared" si="0"/>
        <v>0</v>
      </c>
    </row>
    <row r="42" spans="1:7" x14ac:dyDescent="0.25">
      <c r="A42" s="14">
        <f t="shared" si="1"/>
        <v>38</v>
      </c>
      <c r="B42" s="15" t="s">
        <v>108</v>
      </c>
      <c r="C42" s="15" t="s">
        <v>67</v>
      </c>
      <c r="D42" s="15" t="s">
        <v>57</v>
      </c>
      <c r="E42" s="16">
        <v>850</v>
      </c>
      <c r="F42" s="229">
        <v>0</v>
      </c>
      <c r="G42" s="28">
        <f t="shared" si="0"/>
        <v>0</v>
      </c>
    </row>
    <row r="43" spans="1:7" x14ac:dyDescent="0.25">
      <c r="A43" s="14">
        <f t="shared" si="1"/>
        <v>39</v>
      </c>
      <c r="B43" s="15" t="s">
        <v>109</v>
      </c>
      <c r="C43" s="15" t="s">
        <v>51</v>
      </c>
      <c r="D43" s="15" t="s">
        <v>39</v>
      </c>
      <c r="E43" s="16">
        <v>110</v>
      </c>
      <c r="F43" s="229">
        <v>0</v>
      </c>
      <c r="G43" s="28">
        <f t="shared" si="0"/>
        <v>0</v>
      </c>
    </row>
    <row r="44" spans="1:7" x14ac:dyDescent="0.25">
      <c r="A44" s="14">
        <f t="shared" si="1"/>
        <v>40</v>
      </c>
      <c r="B44" s="15" t="s">
        <v>110</v>
      </c>
      <c r="C44" s="15" t="s">
        <v>46</v>
      </c>
      <c r="D44" s="15" t="s">
        <v>39</v>
      </c>
      <c r="E44" s="16">
        <v>50</v>
      </c>
      <c r="F44" s="229">
        <v>0</v>
      </c>
      <c r="G44" s="28">
        <f t="shared" si="0"/>
        <v>0</v>
      </c>
    </row>
    <row r="45" spans="1:7" x14ac:dyDescent="0.25">
      <c r="A45" s="14">
        <f t="shared" si="1"/>
        <v>41</v>
      </c>
      <c r="B45" s="15" t="s">
        <v>111</v>
      </c>
      <c r="C45" s="15" t="s">
        <v>68</v>
      </c>
      <c r="D45" s="15" t="s">
        <v>39</v>
      </c>
      <c r="E45" s="16">
        <v>120</v>
      </c>
      <c r="F45" s="229">
        <v>0</v>
      </c>
      <c r="G45" s="28">
        <f t="shared" si="0"/>
        <v>0</v>
      </c>
    </row>
    <row r="46" spans="1:7" x14ac:dyDescent="0.25">
      <c r="A46" s="14">
        <f t="shared" si="1"/>
        <v>42</v>
      </c>
      <c r="B46" s="15" t="s">
        <v>112</v>
      </c>
      <c r="C46" s="15" t="s">
        <v>50</v>
      </c>
      <c r="D46" s="15" t="s">
        <v>39</v>
      </c>
      <c r="E46" s="16">
        <v>50</v>
      </c>
      <c r="F46" s="229">
        <v>0</v>
      </c>
      <c r="G46" s="28">
        <f t="shared" si="0"/>
        <v>0</v>
      </c>
    </row>
    <row r="47" spans="1:7" x14ac:dyDescent="0.25">
      <c r="A47" s="14">
        <f t="shared" si="1"/>
        <v>43</v>
      </c>
      <c r="B47" s="15" t="s">
        <v>113</v>
      </c>
      <c r="C47" s="15" t="s">
        <v>69</v>
      </c>
      <c r="D47" s="15" t="s">
        <v>128</v>
      </c>
      <c r="E47" s="16">
        <v>30</v>
      </c>
      <c r="F47" s="229">
        <v>0</v>
      </c>
      <c r="G47" s="28">
        <f t="shared" si="0"/>
        <v>0</v>
      </c>
    </row>
    <row r="48" spans="1:7" x14ac:dyDescent="0.25">
      <c r="A48" s="14">
        <f t="shared" si="1"/>
        <v>44</v>
      </c>
      <c r="B48" s="15" t="s">
        <v>130</v>
      </c>
      <c r="C48" s="15" t="s">
        <v>46</v>
      </c>
      <c r="D48" s="15" t="s">
        <v>39</v>
      </c>
      <c r="E48" s="16">
        <v>1000</v>
      </c>
      <c r="F48" s="229">
        <v>0</v>
      </c>
      <c r="G48" s="28">
        <f t="shared" si="0"/>
        <v>0</v>
      </c>
    </row>
    <row r="49" spans="1:7" x14ac:dyDescent="0.25">
      <c r="A49" s="14">
        <f t="shared" si="1"/>
        <v>45</v>
      </c>
      <c r="B49" s="15" t="s">
        <v>114</v>
      </c>
      <c r="C49" s="15" t="s">
        <v>70</v>
      </c>
      <c r="D49" s="15" t="s">
        <v>57</v>
      </c>
      <c r="E49" s="16">
        <v>30</v>
      </c>
      <c r="F49" s="229">
        <v>0</v>
      </c>
      <c r="G49" s="28">
        <f t="shared" si="0"/>
        <v>0</v>
      </c>
    </row>
    <row r="50" spans="1:7" x14ac:dyDescent="0.25">
      <c r="A50" s="14">
        <f t="shared" si="1"/>
        <v>46</v>
      </c>
      <c r="B50" s="15" t="s">
        <v>419</v>
      </c>
      <c r="C50" s="15" t="s">
        <v>71</v>
      </c>
      <c r="D50" s="15" t="s">
        <v>57</v>
      </c>
      <c r="E50" s="16">
        <v>100</v>
      </c>
      <c r="F50" s="229">
        <v>0</v>
      </c>
      <c r="G50" s="28">
        <f t="shared" si="0"/>
        <v>0</v>
      </c>
    </row>
    <row r="51" spans="1:7" x14ac:dyDescent="0.25">
      <c r="A51" s="14">
        <f t="shared" si="1"/>
        <v>47</v>
      </c>
      <c r="B51" s="15" t="s">
        <v>115</v>
      </c>
      <c r="C51" s="15" t="s">
        <v>71</v>
      </c>
      <c r="D51" s="15" t="s">
        <v>57</v>
      </c>
      <c r="E51" s="16">
        <v>30</v>
      </c>
      <c r="F51" s="229">
        <v>0</v>
      </c>
      <c r="G51" s="28">
        <f t="shared" si="0"/>
        <v>0</v>
      </c>
    </row>
    <row r="52" spans="1:7" x14ac:dyDescent="0.25">
      <c r="A52" s="14">
        <f t="shared" si="1"/>
        <v>48</v>
      </c>
      <c r="B52" s="15" t="s">
        <v>116</v>
      </c>
      <c r="C52" s="15" t="s">
        <v>71</v>
      </c>
      <c r="D52" s="15" t="s">
        <v>57</v>
      </c>
      <c r="E52" s="16">
        <v>10</v>
      </c>
      <c r="F52" s="229">
        <v>0</v>
      </c>
      <c r="G52" s="28">
        <f t="shared" si="0"/>
        <v>0</v>
      </c>
    </row>
    <row r="53" spans="1:7" x14ac:dyDescent="0.25">
      <c r="A53" s="14">
        <f t="shared" si="1"/>
        <v>49</v>
      </c>
      <c r="B53" s="15" t="s">
        <v>117</v>
      </c>
      <c r="C53" s="15" t="s">
        <v>71</v>
      </c>
      <c r="D53" s="15" t="s">
        <v>57</v>
      </c>
      <c r="E53" s="16">
        <v>10</v>
      </c>
      <c r="F53" s="229">
        <v>0</v>
      </c>
      <c r="G53" s="28">
        <f t="shared" si="0"/>
        <v>0</v>
      </c>
    </row>
    <row r="54" spans="1:7" x14ac:dyDescent="0.25">
      <c r="A54" s="14">
        <f t="shared" si="1"/>
        <v>50</v>
      </c>
      <c r="B54" s="15" t="s">
        <v>118</v>
      </c>
      <c r="C54" s="15" t="s">
        <v>71</v>
      </c>
      <c r="D54" s="15" t="s">
        <v>57</v>
      </c>
      <c r="E54" s="16">
        <v>10</v>
      </c>
      <c r="F54" s="229">
        <v>0</v>
      </c>
      <c r="G54" s="28">
        <f t="shared" si="0"/>
        <v>0</v>
      </c>
    </row>
    <row r="55" spans="1:7" x14ac:dyDescent="0.25">
      <c r="A55" s="14">
        <f t="shared" si="1"/>
        <v>51</v>
      </c>
      <c r="B55" s="15" t="s">
        <v>119</v>
      </c>
      <c r="C55" s="15" t="s">
        <v>71</v>
      </c>
      <c r="D55" s="15" t="s">
        <v>57</v>
      </c>
      <c r="E55" s="16">
        <v>40</v>
      </c>
      <c r="F55" s="229">
        <v>0</v>
      </c>
      <c r="G55" s="28">
        <f t="shared" si="0"/>
        <v>0</v>
      </c>
    </row>
    <row r="56" spans="1:7" x14ac:dyDescent="0.25">
      <c r="A56" s="14">
        <f t="shared" si="1"/>
        <v>52</v>
      </c>
      <c r="B56" s="15" t="s">
        <v>120</v>
      </c>
      <c r="C56" s="15" t="s">
        <v>71</v>
      </c>
      <c r="D56" s="15" t="s">
        <v>57</v>
      </c>
      <c r="E56" s="16">
        <v>20</v>
      </c>
      <c r="F56" s="229">
        <v>0</v>
      </c>
      <c r="G56" s="28">
        <f t="shared" si="0"/>
        <v>0</v>
      </c>
    </row>
    <row r="57" spans="1:7" x14ac:dyDescent="0.25">
      <c r="A57" s="14">
        <f t="shared" si="1"/>
        <v>53</v>
      </c>
      <c r="B57" s="15" t="s">
        <v>121</v>
      </c>
      <c r="C57" s="15" t="s">
        <v>72</v>
      </c>
      <c r="D57" s="15" t="s">
        <v>39</v>
      </c>
      <c r="E57" s="16">
        <v>350</v>
      </c>
      <c r="F57" s="229">
        <v>0</v>
      </c>
      <c r="G57" s="28">
        <f t="shared" si="0"/>
        <v>0</v>
      </c>
    </row>
    <row r="58" spans="1:7" x14ac:dyDescent="0.25">
      <c r="A58" s="14">
        <f t="shared" si="1"/>
        <v>54</v>
      </c>
      <c r="B58" s="15" t="s">
        <v>122</v>
      </c>
      <c r="C58" s="15" t="s">
        <v>52</v>
      </c>
      <c r="D58" s="15" t="s">
        <v>39</v>
      </c>
      <c r="E58" s="16">
        <v>150</v>
      </c>
      <c r="F58" s="229">
        <v>0</v>
      </c>
      <c r="G58" s="28">
        <f t="shared" si="0"/>
        <v>0</v>
      </c>
    </row>
    <row r="59" spans="1:7" x14ac:dyDescent="0.25">
      <c r="A59" s="14">
        <f t="shared" si="1"/>
        <v>55</v>
      </c>
      <c r="B59" s="15" t="s">
        <v>420</v>
      </c>
      <c r="C59" s="15" t="s">
        <v>73</v>
      </c>
      <c r="D59" s="15" t="s">
        <v>39</v>
      </c>
      <c r="E59" s="16">
        <v>20</v>
      </c>
      <c r="F59" s="229">
        <v>0</v>
      </c>
      <c r="G59" s="28">
        <f t="shared" si="0"/>
        <v>0</v>
      </c>
    </row>
    <row r="60" spans="1:7" x14ac:dyDescent="0.25">
      <c r="A60" s="14">
        <f t="shared" si="1"/>
        <v>56</v>
      </c>
      <c r="B60" s="15" t="s">
        <v>123</v>
      </c>
      <c r="C60" s="15" t="s">
        <v>73</v>
      </c>
      <c r="D60" s="15" t="s">
        <v>39</v>
      </c>
      <c r="E60" s="16">
        <v>5</v>
      </c>
      <c r="F60" s="229">
        <v>0</v>
      </c>
      <c r="G60" s="28">
        <f t="shared" si="0"/>
        <v>0</v>
      </c>
    </row>
    <row r="61" spans="1:7" x14ac:dyDescent="0.25">
      <c r="A61" s="14">
        <f t="shared" si="1"/>
        <v>57</v>
      </c>
      <c r="B61" s="15" t="s">
        <v>124</v>
      </c>
      <c r="C61" s="15" t="s">
        <v>50</v>
      </c>
      <c r="D61" s="15" t="s">
        <v>39</v>
      </c>
      <c r="E61" s="16">
        <v>100</v>
      </c>
      <c r="F61" s="229">
        <v>0</v>
      </c>
      <c r="G61" s="28">
        <f t="shared" si="0"/>
        <v>0</v>
      </c>
    </row>
    <row r="62" spans="1:7" x14ac:dyDescent="0.25">
      <c r="A62" s="14">
        <f t="shared" si="1"/>
        <v>58</v>
      </c>
      <c r="B62" s="15" t="s">
        <v>125</v>
      </c>
      <c r="C62" s="15" t="s">
        <v>50</v>
      </c>
      <c r="D62" s="15" t="s">
        <v>39</v>
      </c>
      <c r="E62" s="16">
        <v>60</v>
      </c>
      <c r="F62" s="229">
        <v>0</v>
      </c>
      <c r="G62" s="28">
        <f t="shared" si="0"/>
        <v>0</v>
      </c>
    </row>
    <row r="63" spans="1:7" x14ac:dyDescent="0.25">
      <c r="A63" s="14">
        <f t="shared" si="1"/>
        <v>59</v>
      </c>
      <c r="B63" s="15" t="s">
        <v>126</v>
      </c>
      <c r="C63" s="15" t="s">
        <v>50</v>
      </c>
      <c r="D63" s="15" t="s">
        <v>39</v>
      </c>
      <c r="E63" s="16">
        <v>25</v>
      </c>
      <c r="F63" s="229">
        <v>0</v>
      </c>
      <c r="G63" s="28">
        <f t="shared" si="0"/>
        <v>0</v>
      </c>
    </row>
    <row r="64" spans="1:7" ht="15" thickBot="1" x14ac:dyDescent="0.3">
      <c r="A64" s="14">
        <f t="shared" si="1"/>
        <v>60</v>
      </c>
      <c r="B64" s="18" t="s">
        <v>127</v>
      </c>
      <c r="C64" s="18" t="s">
        <v>46</v>
      </c>
      <c r="D64" s="18" t="s">
        <v>39</v>
      </c>
      <c r="E64" s="19">
        <v>40</v>
      </c>
      <c r="F64" s="230">
        <v>0</v>
      </c>
      <c r="G64" s="29">
        <f t="shared" si="0"/>
        <v>0</v>
      </c>
    </row>
    <row r="65" spans="1:7" x14ac:dyDescent="0.25">
      <c r="A65" s="281" t="s">
        <v>133</v>
      </c>
      <c r="B65" s="282"/>
      <c r="C65" s="282"/>
      <c r="D65" s="282"/>
      <c r="E65" s="282"/>
      <c r="F65" s="283"/>
      <c r="G65" s="47">
        <f>SUM(G5:G64)</f>
        <v>0</v>
      </c>
    </row>
    <row r="66" spans="1:7" x14ac:dyDescent="0.25">
      <c r="A66" s="281" t="s">
        <v>74</v>
      </c>
      <c r="B66" s="282"/>
      <c r="C66" s="282"/>
      <c r="D66" s="282"/>
      <c r="E66" s="282"/>
      <c r="F66" s="282"/>
      <c r="G66" s="48">
        <v>188</v>
      </c>
    </row>
    <row r="67" spans="1:7" x14ac:dyDescent="0.25">
      <c r="A67" s="281" t="s">
        <v>75</v>
      </c>
      <c r="B67" s="282"/>
      <c r="C67" s="282"/>
      <c r="D67" s="282"/>
      <c r="E67" s="282"/>
      <c r="F67" s="282"/>
      <c r="G67" s="47">
        <f>G65/G66</f>
        <v>0</v>
      </c>
    </row>
  </sheetData>
  <mergeCells count="11">
    <mergeCell ref="E3:E4"/>
    <mergeCell ref="A65:F65"/>
    <mergeCell ref="A66:F66"/>
    <mergeCell ref="A67:F67"/>
    <mergeCell ref="A1:G1"/>
    <mergeCell ref="A2:G2"/>
    <mergeCell ref="F3:G3"/>
    <mergeCell ref="A3:A4"/>
    <mergeCell ref="B3:B4"/>
    <mergeCell ref="C3:C4"/>
    <mergeCell ref="D3:D4"/>
  </mergeCells>
  <printOptions horizontalCentered="1"/>
  <pageMargins left="0.51181102362204722" right="0.51181102362204722" top="0.78740157480314965" bottom="0.59055118110236227" header="0.11811023622047245" footer="0.11811023622047245"/>
  <pageSetup paperSize="9" orientation="landscape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1"/>
  <sheetViews>
    <sheetView zoomScaleNormal="100" workbookViewId="0">
      <pane ySplit="4" topLeftCell="A5" activePane="bottomLeft" state="frozen"/>
      <selection activeCell="N20" sqref="N20"/>
      <selection pane="bottomLeft" activeCell="R26" sqref="R26"/>
    </sheetView>
  </sheetViews>
  <sheetFormatPr defaultRowHeight="15" x14ac:dyDescent="0.25"/>
  <cols>
    <col min="1" max="1" width="5.7109375" customWidth="1"/>
    <col min="2" max="2" width="58.28515625" bestFit="1" customWidth="1"/>
    <col min="3" max="3" width="11.7109375" customWidth="1"/>
    <col min="4" max="5" width="7.7109375" customWidth="1"/>
    <col min="6" max="8" width="15.7109375" customWidth="1"/>
  </cols>
  <sheetData>
    <row r="1" spans="1:9" ht="20.25" x14ac:dyDescent="0.25">
      <c r="A1" s="284" t="s">
        <v>166</v>
      </c>
      <c r="B1" s="284"/>
      <c r="C1" s="284"/>
      <c r="D1" s="284"/>
      <c r="E1" s="284"/>
      <c r="F1" s="284"/>
      <c r="G1" s="284"/>
      <c r="H1" s="284"/>
    </row>
    <row r="2" spans="1:9" ht="17.25" x14ac:dyDescent="0.25">
      <c r="A2" s="250" t="s">
        <v>165</v>
      </c>
      <c r="B2" s="250"/>
      <c r="C2" s="250"/>
      <c r="D2" s="250"/>
      <c r="E2" s="250"/>
      <c r="F2" s="250"/>
      <c r="G2" s="250"/>
      <c r="H2" s="250"/>
    </row>
    <row r="3" spans="1:9" x14ac:dyDescent="0.25">
      <c r="A3" s="253" t="s">
        <v>8</v>
      </c>
      <c r="B3" s="253" t="s">
        <v>11</v>
      </c>
      <c r="C3" s="253" t="s">
        <v>77</v>
      </c>
      <c r="D3" s="288" t="s">
        <v>15</v>
      </c>
      <c r="E3" s="289"/>
      <c r="F3" s="253" t="s">
        <v>18</v>
      </c>
      <c r="G3" s="253"/>
      <c r="H3" s="253"/>
    </row>
    <row r="4" spans="1:9" ht="15.75" thickBot="1" x14ac:dyDescent="0.3">
      <c r="A4" s="253"/>
      <c r="B4" s="253"/>
      <c r="C4" s="253"/>
      <c r="D4" s="36" t="s">
        <v>16</v>
      </c>
      <c r="E4" s="36" t="s">
        <v>17</v>
      </c>
      <c r="F4" s="35" t="s">
        <v>19</v>
      </c>
      <c r="G4" s="36" t="s">
        <v>16</v>
      </c>
      <c r="H4" s="36" t="s">
        <v>410</v>
      </c>
      <c r="I4" s="10" t="s">
        <v>22</v>
      </c>
    </row>
    <row r="5" spans="1:9" x14ac:dyDescent="0.25">
      <c r="A5" s="14">
        <v>1</v>
      </c>
      <c r="B5" s="15" t="s">
        <v>136</v>
      </c>
      <c r="C5" s="15" t="s">
        <v>158</v>
      </c>
      <c r="D5" s="20">
        <v>100</v>
      </c>
      <c r="E5" s="16">
        <f>D5*12</f>
        <v>1200</v>
      </c>
      <c r="F5" s="228">
        <v>0</v>
      </c>
      <c r="G5" s="28">
        <f>D5*F5</f>
        <v>0</v>
      </c>
      <c r="H5" s="28">
        <f>E5*F5</f>
        <v>0</v>
      </c>
    </row>
    <row r="6" spans="1:9" x14ac:dyDescent="0.25">
      <c r="A6" s="14">
        <v>2</v>
      </c>
      <c r="B6" s="15" t="s">
        <v>137</v>
      </c>
      <c r="C6" s="15" t="s">
        <v>39</v>
      </c>
      <c r="D6" s="20">
        <v>6</v>
      </c>
      <c r="E6" s="16">
        <f t="shared" ref="E6:E27" si="0">D6*12</f>
        <v>72</v>
      </c>
      <c r="F6" s="229">
        <v>0</v>
      </c>
      <c r="G6" s="28">
        <f t="shared" ref="G6:G27" si="1">D6*F6</f>
        <v>0</v>
      </c>
      <c r="H6" s="28">
        <f t="shared" ref="H6:H27" si="2">E6*F6</f>
        <v>0</v>
      </c>
    </row>
    <row r="7" spans="1:9" x14ac:dyDescent="0.25">
      <c r="A7" s="14">
        <v>3</v>
      </c>
      <c r="B7" s="15" t="s">
        <v>138</v>
      </c>
      <c r="C7" s="15" t="s">
        <v>159</v>
      </c>
      <c r="D7" s="20">
        <v>200</v>
      </c>
      <c r="E7" s="16">
        <f t="shared" si="0"/>
        <v>2400</v>
      </c>
      <c r="F7" s="229">
        <v>0</v>
      </c>
      <c r="G7" s="28">
        <f t="shared" si="1"/>
        <v>0</v>
      </c>
      <c r="H7" s="28">
        <f t="shared" si="2"/>
        <v>0</v>
      </c>
    </row>
    <row r="8" spans="1:9" x14ac:dyDescent="0.25">
      <c r="A8" s="14">
        <v>4</v>
      </c>
      <c r="B8" s="15" t="s">
        <v>139</v>
      </c>
      <c r="C8" s="15" t="s">
        <v>160</v>
      </c>
      <c r="D8" s="20">
        <v>25</v>
      </c>
      <c r="E8" s="16">
        <f t="shared" si="0"/>
        <v>300</v>
      </c>
      <c r="F8" s="229">
        <v>0</v>
      </c>
      <c r="G8" s="28">
        <f t="shared" si="1"/>
        <v>0</v>
      </c>
      <c r="H8" s="28">
        <f t="shared" si="2"/>
        <v>0</v>
      </c>
    </row>
    <row r="9" spans="1:9" x14ac:dyDescent="0.25">
      <c r="A9" s="14">
        <v>5</v>
      </c>
      <c r="B9" s="15" t="s">
        <v>140</v>
      </c>
      <c r="C9" s="15" t="s">
        <v>159</v>
      </c>
      <c r="D9" s="20">
        <v>25</v>
      </c>
      <c r="E9" s="16">
        <f t="shared" si="0"/>
        <v>300</v>
      </c>
      <c r="F9" s="229">
        <v>0</v>
      </c>
      <c r="G9" s="28">
        <f t="shared" si="1"/>
        <v>0</v>
      </c>
      <c r="H9" s="28">
        <f t="shared" si="2"/>
        <v>0</v>
      </c>
    </row>
    <row r="10" spans="1:9" x14ac:dyDescent="0.25">
      <c r="A10" s="14">
        <v>6</v>
      </c>
      <c r="B10" s="15" t="s">
        <v>141</v>
      </c>
      <c r="C10" s="15" t="s">
        <v>159</v>
      </c>
      <c r="D10" s="20">
        <v>25</v>
      </c>
      <c r="E10" s="16">
        <f t="shared" si="0"/>
        <v>300</v>
      </c>
      <c r="F10" s="229">
        <v>0</v>
      </c>
      <c r="G10" s="28">
        <f t="shared" si="1"/>
        <v>0</v>
      </c>
      <c r="H10" s="28">
        <f t="shared" si="2"/>
        <v>0</v>
      </c>
    </row>
    <row r="11" spans="1:9" x14ac:dyDescent="0.25">
      <c r="A11" s="14">
        <v>7</v>
      </c>
      <c r="B11" s="15" t="s">
        <v>142</v>
      </c>
      <c r="C11" s="15" t="s">
        <v>159</v>
      </c>
      <c r="D11" s="20">
        <v>10</v>
      </c>
      <c r="E11" s="16">
        <f t="shared" si="0"/>
        <v>120</v>
      </c>
      <c r="F11" s="229">
        <v>0</v>
      </c>
      <c r="G11" s="28">
        <f t="shared" si="1"/>
        <v>0</v>
      </c>
      <c r="H11" s="28">
        <f t="shared" si="2"/>
        <v>0</v>
      </c>
    </row>
    <row r="12" spans="1:9" x14ac:dyDescent="0.25">
      <c r="A12" s="14">
        <v>8</v>
      </c>
      <c r="B12" s="15" t="s">
        <v>143</v>
      </c>
      <c r="C12" s="15" t="s">
        <v>159</v>
      </c>
      <c r="D12" s="20">
        <v>25</v>
      </c>
      <c r="E12" s="16">
        <f t="shared" si="0"/>
        <v>300</v>
      </c>
      <c r="F12" s="229">
        <v>0</v>
      </c>
      <c r="G12" s="28">
        <f t="shared" si="1"/>
        <v>0</v>
      </c>
      <c r="H12" s="28">
        <f t="shared" si="2"/>
        <v>0</v>
      </c>
    </row>
    <row r="13" spans="1:9" x14ac:dyDescent="0.25">
      <c r="A13" s="14">
        <v>9</v>
      </c>
      <c r="B13" s="15" t="s">
        <v>144</v>
      </c>
      <c r="C13" s="15" t="s">
        <v>39</v>
      </c>
      <c r="D13" s="20">
        <v>60</v>
      </c>
      <c r="E13" s="16">
        <f t="shared" si="0"/>
        <v>720</v>
      </c>
      <c r="F13" s="229">
        <v>0</v>
      </c>
      <c r="G13" s="28">
        <f t="shared" si="1"/>
        <v>0</v>
      </c>
      <c r="H13" s="28">
        <f t="shared" si="2"/>
        <v>0</v>
      </c>
    </row>
    <row r="14" spans="1:9" x14ac:dyDescent="0.25">
      <c r="A14" s="14">
        <v>10</v>
      </c>
      <c r="B14" s="15" t="s">
        <v>145</v>
      </c>
      <c r="C14" s="15" t="s">
        <v>160</v>
      </c>
      <c r="D14" s="20">
        <v>5</v>
      </c>
      <c r="E14" s="16">
        <f t="shared" si="0"/>
        <v>60</v>
      </c>
      <c r="F14" s="229">
        <v>0</v>
      </c>
      <c r="G14" s="28">
        <f t="shared" si="1"/>
        <v>0</v>
      </c>
      <c r="H14" s="28">
        <f t="shared" si="2"/>
        <v>0</v>
      </c>
    </row>
    <row r="15" spans="1:9" x14ac:dyDescent="0.25">
      <c r="A15" s="14">
        <v>11</v>
      </c>
      <c r="B15" s="15" t="s">
        <v>146</v>
      </c>
      <c r="C15" s="15" t="s">
        <v>39</v>
      </c>
      <c r="D15" s="20">
        <v>400</v>
      </c>
      <c r="E15" s="16">
        <f t="shared" si="0"/>
        <v>4800</v>
      </c>
      <c r="F15" s="229">
        <v>0</v>
      </c>
      <c r="G15" s="28">
        <f t="shared" si="1"/>
        <v>0</v>
      </c>
      <c r="H15" s="28">
        <f t="shared" si="2"/>
        <v>0</v>
      </c>
    </row>
    <row r="16" spans="1:9" x14ac:dyDescent="0.25">
      <c r="A16" s="14">
        <v>12</v>
      </c>
      <c r="B16" s="15" t="s">
        <v>147</v>
      </c>
      <c r="C16" s="15" t="s">
        <v>39</v>
      </c>
      <c r="D16" s="20">
        <v>400</v>
      </c>
      <c r="E16" s="16">
        <f t="shared" si="0"/>
        <v>4800</v>
      </c>
      <c r="F16" s="229">
        <v>0</v>
      </c>
      <c r="G16" s="28">
        <f t="shared" si="1"/>
        <v>0</v>
      </c>
      <c r="H16" s="28">
        <f t="shared" si="2"/>
        <v>0</v>
      </c>
    </row>
    <row r="17" spans="1:8" x14ac:dyDescent="0.25">
      <c r="A17" s="14">
        <v>13</v>
      </c>
      <c r="B17" s="15" t="s">
        <v>148</v>
      </c>
      <c r="C17" s="15" t="s">
        <v>57</v>
      </c>
      <c r="D17" s="20">
        <v>100</v>
      </c>
      <c r="E17" s="16">
        <f t="shared" si="0"/>
        <v>1200</v>
      </c>
      <c r="F17" s="229">
        <v>0</v>
      </c>
      <c r="G17" s="28">
        <f t="shared" si="1"/>
        <v>0</v>
      </c>
      <c r="H17" s="28">
        <f t="shared" si="2"/>
        <v>0</v>
      </c>
    </row>
    <row r="18" spans="1:8" x14ac:dyDescent="0.25">
      <c r="A18" s="14">
        <v>14</v>
      </c>
      <c r="B18" s="15" t="s">
        <v>149</v>
      </c>
      <c r="C18" s="15" t="s">
        <v>161</v>
      </c>
      <c r="D18" s="20">
        <v>24</v>
      </c>
      <c r="E18" s="16">
        <f t="shared" si="0"/>
        <v>288</v>
      </c>
      <c r="F18" s="229">
        <v>0</v>
      </c>
      <c r="G18" s="28">
        <f t="shared" si="1"/>
        <v>0</v>
      </c>
      <c r="H18" s="28">
        <f t="shared" si="2"/>
        <v>0</v>
      </c>
    </row>
    <row r="19" spans="1:8" x14ac:dyDescent="0.25">
      <c r="A19" s="14">
        <v>15</v>
      </c>
      <c r="B19" s="15" t="s">
        <v>150</v>
      </c>
      <c r="C19" s="15" t="s">
        <v>39</v>
      </c>
      <c r="D19" s="20">
        <v>120</v>
      </c>
      <c r="E19" s="16">
        <f t="shared" si="0"/>
        <v>1440</v>
      </c>
      <c r="F19" s="229">
        <v>0</v>
      </c>
      <c r="G19" s="28">
        <f t="shared" si="1"/>
        <v>0</v>
      </c>
      <c r="H19" s="28">
        <f t="shared" si="2"/>
        <v>0</v>
      </c>
    </row>
    <row r="20" spans="1:8" x14ac:dyDescent="0.25">
      <c r="A20" s="14">
        <v>16</v>
      </c>
      <c r="B20" s="15" t="s">
        <v>431</v>
      </c>
      <c r="C20" s="15" t="s">
        <v>39</v>
      </c>
      <c r="D20" s="20">
        <v>400</v>
      </c>
      <c r="E20" s="16">
        <f t="shared" si="0"/>
        <v>4800</v>
      </c>
      <c r="F20" s="229">
        <v>0</v>
      </c>
      <c r="G20" s="28">
        <f t="shared" si="1"/>
        <v>0</v>
      </c>
      <c r="H20" s="28">
        <f t="shared" si="2"/>
        <v>0</v>
      </c>
    </row>
    <row r="21" spans="1:8" x14ac:dyDescent="0.25">
      <c r="A21" s="14">
        <v>17</v>
      </c>
      <c r="B21" s="15" t="s">
        <v>151</v>
      </c>
      <c r="C21" s="15" t="s">
        <v>39</v>
      </c>
      <c r="D21" s="20">
        <v>400</v>
      </c>
      <c r="E21" s="16">
        <f t="shared" si="0"/>
        <v>4800</v>
      </c>
      <c r="F21" s="229">
        <v>0</v>
      </c>
      <c r="G21" s="28">
        <f t="shared" si="1"/>
        <v>0</v>
      </c>
      <c r="H21" s="28">
        <f t="shared" si="2"/>
        <v>0</v>
      </c>
    </row>
    <row r="22" spans="1:8" x14ac:dyDescent="0.25">
      <c r="A22" s="14">
        <v>18</v>
      </c>
      <c r="B22" s="15" t="s">
        <v>152</v>
      </c>
      <c r="C22" s="15" t="s">
        <v>39</v>
      </c>
      <c r="D22" s="20">
        <v>400</v>
      </c>
      <c r="E22" s="16">
        <f t="shared" si="0"/>
        <v>4800</v>
      </c>
      <c r="F22" s="229">
        <v>0</v>
      </c>
      <c r="G22" s="28">
        <f t="shared" si="1"/>
        <v>0</v>
      </c>
      <c r="H22" s="28">
        <f t="shared" si="2"/>
        <v>0</v>
      </c>
    </row>
    <row r="23" spans="1:8" x14ac:dyDescent="0.25">
      <c r="A23" s="14">
        <v>19</v>
      </c>
      <c r="B23" s="15" t="s">
        <v>153</v>
      </c>
      <c r="C23" s="15" t="s">
        <v>39</v>
      </c>
      <c r="D23" s="20">
        <v>300</v>
      </c>
      <c r="E23" s="16">
        <f t="shared" si="0"/>
        <v>3600</v>
      </c>
      <c r="F23" s="229">
        <v>0</v>
      </c>
      <c r="G23" s="28">
        <f t="shared" si="1"/>
        <v>0</v>
      </c>
      <c r="H23" s="28">
        <f t="shared" si="2"/>
        <v>0</v>
      </c>
    </row>
    <row r="24" spans="1:8" x14ac:dyDescent="0.25">
      <c r="A24" s="14">
        <v>20</v>
      </c>
      <c r="B24" s="15" t="s">
        <v>154</v>
      </c>
      <c r="C24" s="15" t="s">
        <v>39</v>
      </c>
      <c r="D24" s="20">
        <v>300</v>
      </c>
      <c r="E24" s="16">
        <f t="shared" si="0"/>
        <v>3600</v>
      </c>
      <c r="F24" s="229">
        <v>0</v>
      </c>
      <c r="G24" s="28">
        <f t="shared" si="1"/>
        <v>0</v>
      </c>
      <c r="H24" s="28">
        <f t="shared" si="2"/>
        <v>0</v>
      </c>
    </row>
    <row r="25" spans="1:8" x14ac:dyDescent="0.25">
      <c r="A25" s="14">
        <v>21</v>
      </c>
      <c r="B25" s="15" t="s">
        <v>155</v>
      </c>
      <c r="C25" s="15" t="s">
        <v>39</v>
      </c>
      <c r="D25" s="20">
        <v>300</v>
      </c>
      <c r="E25" s="16">
        <f t="shared" si="0"/>
        <v>3600</v>
      </c>
      <c r="F25" s="229">
        <v>0</v>
      </c>
      <c r="G25" s="28">
        <f t="shared" si="1"/>
        <v>0</v>
      </c>
      <c r="H25" s="28">
        <f t="shared" si="2"/>
        <v>0</v>
      </c>
    </row>
    <row r="26" spans="1:8" x14ac:dyDescent="0.25">
      <c r="A26" s="14">
        <v>22</v>
      </c>
      <c r="B26" s="15" t="s">
        <v>156</v>
      </c>
      <c r="C26" s="15" t="s">
        <v>39</v>
      </c>
      <c r="D26" s="20">
        <v>12</v>
      </c>
      <c r="E26" s="16">
        <f t="shared" si="0"/>
        <v>144</v>
      </c>
      <c r="F26" s="229">
        <v>0</v>
      </c>
      <c r="G26" s="28">
        <f t="shared" si="1"/>
        <v>0</v>
      </c>
      <c r="H26" s="28">
        <f t="shared" si="2"/>
        <v>0</v>
      </c>
    </row>
    <row r="27" spans="1:8" ht="15.75" thickBot="1" x14ac:dyDescent="0.3">
      <c r="A27" s="17">
        <v>23</v>
      </c>
      <c r="B27" s="18" t="s">
        <v>157</v>
      </c>
      <c r="C27" s="18" t="s">
        <v>162</v>
      </c>
      <c r="D27" s="21">
        <v>150</v>
      </c>
      <c r="E27" s="19">
        <f t="shared" si="0"/>
        <v>1800</v>
      </c>
      <c r="F27" s="230">
        <v>0</v>
      </c>
      <c r="G27" s="29">
        <f t="shared" si="1"/>
        <v>0</v>
      </c>
      <c r="H27" s="29">
        <f t="shared" si="2"/>
        <v>0</v>
      </c>
    </row>
    <row r="28" spans="1:8" ht="15" customHeight="1" x14ac:dyDescent="0.25">
      <c r="A28" s="286" t="s">
        <v>133</v>
      </c>
      <c r="B28" s="286"/>
      <c r="C28" s="286"/>
      <c r="D28" s="286"/>
      <c r="E28" s="286"/>
      <c r="F28" s="287"/>
      <c r="G28" s="49">
        <f>SUM(G5:G27)</f>
        <v>0</v>
      </c>
      <c r="H28" s="49">
        <f>SUM(H5:H27)</f>
        <v>0</v>
      </c>
    </row>
    <row r="29" spans="1:8" ht="5.0999999999999996" customHeight="1" x14ac:dyDescent="0.25">
      <c r="A29" s="22"/>
      <c r="B29" s="22"/>
      <c r="C29" s="22"/>
      <c r="D29" s="22"/>
      <c r="E29" s="22"/>
      <c r="F29" s="22"/>
      <c r="G29" s="23"/>
      <c r="H29" s="23"/>
    </row>
    <row r="30" spans="1:8" ht="15" customHeight="1" x14ac:dyDescent="0.25">
      <c r="A30" s="281" t="s">
        <v>74</v>
      </c>
      <c r="B30" s="282"/>
      <c r="C30" s="282"/>
      <c r="D30" s="282"/>
      <c r="E30" s="282"/>
      <c r="F30" s="282"/>
      <c r="G30" s="282"/>
      <c r="H30" s="48">
        <v>10</v>
      </c>
    </row>
    <row r="31" spans="1:8" ht="15" customHeight="1" x14ac:dyDescent="0.25">
      <c r="A31" s="281" t="s">
        <v>164</v>
      </c>
      <c r="B31" s="282"/>
      <c r="C31" s="282"/>
      <c r="D31" s="282"/>
      <c r="E31" s="282"/>
      <c r="F31" s="282"/>
      <c r="G31" s="282"/>
      <c r="H31" s="47">
        <f>G28/H30</f>
        <v>0</v>
      </c>
    </row>
  </sheetData>
  <mergeCells count="10">
    <mergeCell ref="A28:F28"/>
    <mergeCell ref="D3:E3"/>
    <mergeCell ref="A30:G30"/>
    <mergeCell ref="A31:G31"/>
    <mergeCell ref="A1:H1"/>
    <mergeCell ref="A2:H2"/>
    <mergeCell ref="A3:A4"/>
    <mergeCell ref="B3:B4"/>
    <mergeCell ref="C3:C4"/>
    <mergeCell ref="F3:H3"/>
  </mergeCells>
  <printOptions horizontalCentered="1"/>
  <pageMargins left="0.51181102362204722" right="0.51181102362204722" top="0.78740157480314965" bottom="0.78740157480314965" header="0.11811023622047245" footer="0.11811023622047245"/>
  <pageSetup paperSize="9" scale="96" orientation="landscape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1"/>
  <sheetViews>
    <sheetView zoomScaleNormal="100" workbookViewId="0">
      <pane ySplit="3" topLeftCell="A4" activePane="bottomLeft" state="frozen"/>
      <selection activeCell="N20" sqref="N20"/>
      <selection pane="bottomLeft" activeCell="N20" sqref="N20"/>
    </sheetView>
  </sheetViews>
  <sheetFormatPr defaultRowHeight="16.5" x14ac:dyDescent="0.3"/>
  <cols>
    <col min="1" max="1" width="5.7109375" style="30" customWidth="1"/>
    <col min="2" max="2" width="60.7109375" style="30" customWidth="1"/>
    <col min="3" max="3" width="7.7109375" style="30" customWidth="1"/>
    <col min="4" max="4" width="7.7109375" style="32" customWidth="1"/>
    <col min="5" max="6" width="15.7109375" style="31" customWidth="1"/>
    <col min="7" max="16384" width="9.140625" style="30"/>
  </cols>
  <sheetData>
    <row r="1" spans="1:7" ht="20.25" x14ac:dyDescent="0.35">
      <c r="A1" s="297" t="s">
        <v>216</v>
      </c>
      <c r="B1" s="298"/>
      <c r="C1" s="298"/>
      <c r="D1" s="298"/>
      <c r="E1" s="298"/>
      <c r="F1" s="299"/>
    </row>
    <row r="2" spans="1:7" x14ac:dyDescent="0.3">
      <c r="A2" s="306" t="s">
        <v>8</v>
      </c>
      <c r="B2" s="306" t="s">
        <v>11</v>
      </c>
      <c r="C2" s="306" t="s">
        <v>77</v>
      </c>
      <c r="D2" s="306" t="s">
        <v>131</v>
      </c>
      <c r="E2" s="288" t="s">
        <v>18</v>
      </c>
      <c r="F2" s="289"/>
    </row>
    <row r="3" spans="1:7" x14ac:dyDescent="0.3">
      <c r="A3" s="307"/>
      <c r="B3" s="307"/>
      <c r="C3" s="307"/>
      <c r="D3" s="307"/>
      <c r="E3" s="36" t="s">
        <v>19</v>
      </c>
      <c r="F3" s="36" t="s">
        <v>20</v>
      </c>
      <c r="G3" s="10" t="s">
        <v>22</v>
      </c>
    </row>
    <row r="4" spans="1:7" ht="5.0999999999999996" customHeight="1" x14ac:dyDescent="0.3">
      <c r="A4" s="70"/>
      <c r="B4" s="70"/>
      <c r="C4" s="70"/>
      <c r="D4" s="71"/>
      <c r="E4" s="72"/>
      <c r="F4" s="72"/>
    </row>
    <row r="5" spans="1:7" ht="17.25" thickBot="1" x14ac:dyDescent="0.35">
      <c r="A5" s="300" t="s">
        <v>167</v>
      </c>
      <c r="B5" s="300"/>
      <c r="C5" s="300"/>
      <c r="D5" s="300"/>
      <c r="E5" s="301"/>
      <c r="F5" s="300"/>
    </row>
    <row r="6" spans="1:7" x14ac:dyDescent="0.3">
      <c r="A6" s="24">
        <v>1</v>
      </c>
      <c r="B6" s="3" t="s">
        <v>168</v>
      </c>
      <c r="C6" s="25" t="s">
        <v>39</v>
      </c>
      <c r="D6" s="33">
        <v>104</v>
      </c>
      <c r="E6" s="231">
        <v>0</v>
      </c>
      <c r="F6" s="34">
        <f>D6*E6</f>
        <v>0</v>
      </c>
    </row>
    <row r="7" spans="1:7" ht="28.5" x14ac:dyDescent="0.3">
      <c r="A7" s="24">
        <f>A6+1</f>
        <v>2</v>
      </c>
      <c r="B7" s="3" t="s">
        <v>169</v>
      </c>
      <c r="C7" s="25" t="s">
        <v>39</v>
      </c>
      <c r="D7" s="33">
        <v>6</v>
      </c>
      <c r="E7" s="232">
        <v>0</v>
      </c>
      <c r="F7" s="34">
        <f t="shared" ref="F7:F36" si="0">D7*E7</f>
        <v>0</v>
      </c>
    </row>
    <row r="8" spans="1:7" x14ac:dyDescent="0.3">
      <c r="A8" s="24">
        <f t="shared" ref="A8:A36" si="1">A7+1</f>
        <v>3</v>
      </c>
      <c r="B8" s="3" t="s">
        <v>170</v>
      </c>
      <c r="C8" s="25" t="s">
        <v>39</v>
      </c>
      <c r="D8" s="33">
        <v>1000</v>
      </c>
      <c r="E8" s="232">
        <v>0</v>
      </c>
      <c r="F8" s="34">
        <f t="shared" si="0"/>
        <v>0</v>
      </c>
    </row>
    <row r="9" spans="1:7" x14ac:dyDescent="0.3">
      <c r="A9" s="24">
        <f t="shared" si="1"/>
        <v>4</v>
      </c>
      <c r="B9" s="3" t="s">
        <v>171</v>
      </c>
      <c r="C9" s="25" t="s">
        <v>39</v>
      </c>
      <c r="D9" s="33">
        <v>1000</v>
      </c>
      <c r="E9" s="232">
        <v>0</v>
      </c>
      <c r="F9" s="34">
        <f t="shared" si="0"/>
        <v>0</v>
      </c>
    </row>
    <row r="10" spans="1:7" x14ac:dyDescent="0.3">
      <c r="A10" s="24">
        <f t="shared" si="1"/>
        <v>5</v>
      </c>
      <c r="B10" s="3" t="s">
        <v>172</v>
      </c>
      <c r="C10" s="25" t="s">
        <v>39</v>
      </c>
      <c r="D10" s="33">
        <v>900</v>
      </c>
      <c r="E10" s="232">
        <v>0</v>
      </c>
      <c r="F10" s="34">
        <f t="shared" si="0"/>
        <v>0</v>
      </c>
    </row>
    <row r="11" spans="1:7" x14ac:dyDescent="0.3">
      <c r="A11" s="24">
        <f t="shared" si="1"/>
        <v>6</v>
      </c>
      <c r="B11" s="3" t="s">
        <v>173</v>
      </c>
      <c r="C11" s="25" t="s">
        <v>39</v>
      </c>
      <c r="D11" s="33">
        <v>30</v>
      </c>
      <c r="E11" s="232">
        <v>0</v>
      </c>
      <c r="F11" s="34">
        <f t="shared" si="0"/>
        <v>0</v>
      </c>
    </row>
    <row r="12" spans="1:7" x14ac:dyDescent="0.3">
      <c r="A12" s="24">
        <f t="shared" si="1"/>
        <v>7</v>
      </c>
      <c r="B12" s="3" t="s">
        <v>174</v>
      </c>
      <c r="C12" s="25" t="s">
        <v>39</v>
      </c>
      <c r="D12" s="33">
        <v>8</v>
      </c>
      <c r="E12" s="232">
        <v>0</v>
      </c>
      <c r="F12" s="34">
        <f t="shared" si="0"/>
        <v>0</v>
      </c>
    </row>
    <row r="13" spans="1:7" x14ac:dyDescent="0.3">
      <c r="A13" s="24">
        <f t="shared" si="1"/>
        <v>8</v>
      </c>
      <c r="B13" s="3" t="s">
        <v>175</v>
      </c>
      <c r="C13" s="25" t="s">
        <v>39</v>
      </c>
      <c r="D13" s="33">
        <v>8</v>
      </c>
      <c r="E13" s="232">
        <v>0</v>
      </c>
      <c r="F13" s="34">
        <f t="shared" si="0"/>
        <v>0</v>
      </c>
    </row>
    <row r="14" spans="1:7" x14ac:dyDescent="0.3">
      <c r="A14" s="24">
        <f t="shared" si="1"/>
        <v>9</v>
      </c>
      <c r="B14" s="3" t="s">
        <v>176</v>
      </c>
      <c r="C14" s="25" t="s">
        <v>39</v>
      </c>
      <c r="D14" s="33">
        <v>6</v>
      </c>
      <c r="E14" s="232">
        <v>0</v>
      </c>
      <c r="F14" s="34">
        <f t="shared" si="0"/>
        <v>0</v>
      </c>
    </row>
    <row r="15" spans="1:7" x14ac:dyDescent="0.3">
      <c r="A15" s="24">
        <f t="shared" si="1"/>
        <v>10</v>
      </c>
      <c r="B15" s="3" t="s">
        <v>177</v>
      </c>
      <c r="C15" s="25" t="s">
        <v>39</v>
      </c>
      <c r="D15" s="33">
        <v>6</v>
      </c>
      <c r="E15" s="232">
        <v>0</v>
      </c>
      <c r="F15" s="34">
        <f t="shared" si="0"/>
        <v>0</v>
      </c>
    </row>
    <row r="16" spans="1:7" x14ac:dyDescent="0.3">
      <c r="A16" s="24">
        <f t="shared" si="1"/>
        <v>11</v>
      </c>
      <c r="B16" s="3" t="s">
        <v>178</v>
      </c>
      <c r="C16" s="25" t="s">
        <v>39</v>
      </c>
      <c r="D16" s="33">
        <v>3</v>
      </c>
      <c r="E16" s="232">
        <v>0</v>
      </c>
      <c r="F16" s="34">
        <f t="shared" si="0"/>
        <v>0</v>
      </c>
    </row>
    <row r="17" spans="1:6" x14ac:dyDescent="0.3">
      <c r="A17" s="24">
        <f t="shared" si="1"/>
        <v>12</v>
      </c>
      <c r="B17" s="3" t="s">
        <v>422</v>
      </c>
      <c r="C17" s="25" t="s">
        <v>39</v>
      </c>
      <c r="D17" s="33">
        <v>2</v>
      </c>
      <c r="E17" s="232">
        <v>0</v>
      </c>
      <c r="F17" s="34">
        <f t="shared" si="0"/>
        <v>0</v>
      </c>
    </row>
    <row r="18" spans="1:6" x14ac:dyDescent="0.3">
      <c r="A18" s="24">
        <f t="shared" si="1"/>
        <v>13</v>
      </c>
      <c r="B18" s="3" t="s">
        <v>179</v>
      </c>
      <c r="C18" s="25" t="s">
        <v>39</v>
      </c>
      <c r="D18" s="33">
        <v>2</v>
      </c>
      <c r="E18" s="232">
        <v>0</v>
      </c>
      <c r="F18" s="34">
        <f t="shared" si="0"/>
        <v>0</v>
      </c>
    </row>
    <row r="19" spans="1:6" x14ac:dyDescent="0.3">
      <c r="A19" s="24">
        <f t="shared" si="1"/>
        <v>14</v>
      </c>
      <c r="B19" s="3" t="s">
        <v>180</v>
      </c>
      <c r="C19" s="25" t="s">
        <v>39</v>
      </c>
      <c r="D19" s="33">
        <v>120</v>
      </c>
      <c r="E19" s="232">
        <v>0</v>
      </c>
      <c r="F19" s="34">
        <f t="shared" si="0"/>
        <v>0</v>
      </c>
    </row>
    <row r="20" spans="1:6" x14ac:dyDescent="0.3">
      <c r="A20" s="24">
        <f t="shared" si="1"/>
        <v>15</v>
      </c>
      <c r="B20" s="3" t="s">
        <v>181</v>
      </c>
      <c r="C20" s="25" t="s">
        <v>39</v>
      </c>
      <c r="D20" s="33">
        <v>300</v>
      </c>
      <c r="E20" s="232">
        <v>0</v>
      </c>
      <c r="F20" s="34">
        <f t="shared" si="0"/>
        <v>0</v>
      </c>
    </row>
    <row r="21" spans="1:6" x14ac:dyDescent="0.3">
      <c r="A21" s="24">
        <f t="shared" si="1"/>
        <v>16</v>
      </c>
      <c r="B21" s="3" t="s">
        <v>182</v>
      </c>
      <c r="C21" s="25" t="s">
        <v>39</v>
      </c>
      <c r="D21" s="33">
        <v>300</v>
      </c>
      <c r="E21" s="232">
        <v>0</v>
      </c>
      <c r="F21" s="34">
        <f t="shared" si="0"/>
        <v>0</v>
      </c>
    </row>
    <row r="22" spans="1:6" x14ac:dyDescent="0.3">
      <c r="A22" s="24">
        <f t="shared" si="1"/>
        <v>17</v>
      </c>
      <c r="B22" s="3" t="s">
        <v>183</v>
      </c>
      <c r="C22" s="25" t="s">
        <v>39</v>
      </c>
      <c r="D22" s="33">
        <v>300</v>
      </c>
      <c r="E22" s="232">
        <v>0</v>
      </c>
      <c r="F22" s="34">
        <f t="shared" si="0"/>
        <v>0</v>
      </c>
    </row>
    <row r="23" spans="1:6" x14ac:dyDescent="0.3">
      <c r="A23" s="24">
        <f t="shared" si="1"/>
        <v>18</v>
      </c>
      <c r="B23" s="3" t="s">
        <v>184</v>
      </c>
      <c r="C23" s="25" t="s">
        <v>39</v>
      </c>
      <c r="D23" s="33">
        <v>189</v>
      </c>
      <c r="E23" s="232">
        <v>0</v>
      </c>
      <c r="F23" s="34">
        <f t="shared" si="0"/>
        <v>0</v>
      </c>
    </row>
    <row r="24" spans="1:6" x14ac:dyDescent="0.3">
      <c r="A24" s="24">
        <f t="shared" si="1"/>
        <v>19</v>
      </c>
      <c r="B24" s="3" t="s">
        <v>185</v>
      </c>
      <c r="C24" s="25" t="s">
        <v>39</v>
      </c>
      <c r="D24" s="33">
        <v>15</v>
      </c>
      <c r="E24" s="232">
        <v>0</v>
      </c>
      <c r="F24" s="34">
        <f t="shared" si="0"/>
        <v>0</v>
      </c>
    </row>
    <row r="25" spans="1:6" x14ac:dyDescent="0.3">
      <c r="A25" s="24">
        <f t="shared" si="1"/>
        <v>20</v>
      </c>
      <c r="B25" s="3" t="s">
        <v>186</v>
      </c>
      <c r="C25" s="25" t="s">
        <v>39</v>
      </c>
      <c r="D25" s="33">
        <v>2</v>
      </c>
      <c r="E25" s="232">
        <v>0</v>
      </c>
      <c r="F25" s="34">
        <f t="shared" si="0"/>
        <v>0</v>
      </c>
    </row>
    <row r="26" spans="1:6" x14ac:dyDescent="0.3">
      <c r="A26" s="24">
        <f t="shared" si="1"/>
        <v>21</v>
      </c>
      <c r="B26" s="3" t="s">
        <v>423</v>
      </c>
      <c r="C26" s="25" t="s">
        <v>39</v>
      </c>
      <c r="D26" s="33">
        <v>2</v>
      </c>
      <c r="E26" s="232">
        <v>0</v>
      </c>
      <c r="F26" s="34">
        <f t="shared" si="0"/>
        <v>0</v>
      </c>
    </row>
    <row r="27" spans="1:6" x14ac:dyDescent="0.3">
      <c r="A27" s="24">
        <f t="shared" si="1"/>
        <v>22</v>
      </c>
      <c r="B27" s="3" t="s">
        <v>421</v>
      </c>
      <c r="C27" s="25" t="s">
        <v>39</v>
      </c>
      <c r="D27" s="33">
        <v>3200</v>
      </c>
      <c r="E27" s="232">
        <v>0</v>
      </c>
      <c r="F27" s="34">
        <f t="shared" si="0"/>
        <v>0</v>
      </c>
    </row>
    <row r="28" spans="1:6" x14ac:dyDescent="0.3">
      <c r="A28" s="24">
        <f t="shared" si="1"/>
        <v>23</v>
      </c>
      <c r="B28" s="3" t="s">
        <v>417</v>
      </c>
      <c r="C28" s="25" t="s">
        <v>39</v>
      </c>
      <c r="D28" s="33">
        <v>1000</v>
      </c>
      <c r="E28" s="232">
        <v>0</v>
      </c>
      <c r="F28" s="34">
        <f t="shared" ref="F28" si="2">D28*E28</f>
        <v>0</v>
      </c>
    </row>
    <row r="29" spans="1:6" x14ac:dyDescent="0.3">
      <c r="A29" s="24">
        <f t="shared" si="1"/>
        <v>24</v>
      </c>
      <c r="B29" s="3" t="s">
        <v>187</v>
      </c>
      <c r="C29" s="25" t="s">
        <v>39</v>
      </c>
      <c r="D29" s="33">
        <v>104</v>
      </c>
      <c r="E29" s="232">
        <v>0</v>
      </c>
      <c r="F29" s="34">
        <f t="shared" si="0"/>
        <v>0</v>
      </c>
    </row>
    <row r="30" spans="1:6" x14ac:dyDescent="0.3">
      <c r="A30" s="24">
        <f t="shared" si="1"/>
        <v>25</v>
      </c>
      <c r="B30" s="3" t="s">
        <v>188</v>
      </c>
      <c r="C30" s="25" t="s">
        <v>39</v>
      </c>
      <c r="D30" s="33">
        <v>104</v>
      </c>
      <c r="E30" s="232">
        <v>0</v>
      </c>
      <c r="F30" s="34">
        <f t="shared" si="0"/>
        <v>0</v>
      </c>
    </row>
    <row r="31" spans="1:6" x14ac:dyDescent="0.3">
      <c r="A31" s="24">
        <f t="shared" si="1"/>
        <v>26</v>
      </c>
      <c r="B31" s="3" t="s">
        <v>189</v>
      </c>
      <c r="C31" s="25" t="s">
        <v>39</v>
      </c>
      <c r="D31" s="33">
        <v>104</v>
      </c>
      <c r="E31" s="232">
        <v>0</v>
      </c>
      <c r="F31" s="34">
        <f t="shared" si="0"/>
        <v>0</v>
      </c>
    </row>
    <row r="32" spans="1:6" x14ac:dyDescent="0.3">
      <c r="A32" s="24">
        <f t="shared" si="1"/>
        <v>27</v>
      </c>
      <c r="B32" s="3" t="s">
        <v>190</v>
      </c>
      <c r="C32" s="25" t="s">
        <v>39</v>
      </c>
      <c r="D32" s="33">
        <v>104</v>
      </c>
      <c r="E32" s="232">
        <v>0</v>
      </c>
      <c r="F32" s="34">
        <f t="shared" si="0"/>
        <v>0</v>
      </c>
    </row>
    <row r="33" spans="1:6" x14ac:dyDescent="0.3">
      <c r="A33" s="24">
        <f t="shared" si="1"/>
        <v>28</v>
      </c>
      <c r="B33" s="3" t="s">
        <v>191</v>
      </c>
      <c r="C33" s="25" t="s">
        <v>39</v>
      </c>
      <c r="D33" s="33">
        <v>153</v>
      </c>
      <c r="E33" s="232">
        <v>0</v>
      </c>
      <c r="F33" s="34">
        <f t="shared" si="0"/>
        <v>0</v>
      </c>
    </row>
    <row r="34" spans="1:6" x14ac:dyDescent="0.3">
      <c r="A34" s="24">
        <f t="shared" si="1"/>
        <v>29</v>
      </c>
      <c r="B34" s="3" t="s">
        <v>192</v>
      </c>
      <c r="C34" s="25" t="s">
        <v>39</v>
      </c>
      <c r="D34" s="33">
        <v>104</v>
      </c>
      <c r="E34" s="232">
        <v>0</v>
      </c>
      <c r="F34" s="34">
        <f t="shared" si="0"/>
        <v>0</v>
      </c>
    </row>
    <row r="35" spans="1:6" x14ac:dyDescent="0.3">
      <c r="A35" s="24">
        <f t="shared" si="1"/>
        <v>30</v>
      </c>
      <c r="B35" s="3" t="s">
        <v>193</v>
      </c>
      <c r="C35" s="25" t="s">
        <v>39</v>
      </c>
      <c r="D35" s="33">
        <v>104</v>
      </c>
      <c r="E35" s="232">
        <v>0</v>
      </c>
      <c r="F35" s="34">
        <f t="shared" si="0"/>
        <v>0</v>
      </c>
    </row>
    <row r="36" spans="1:6" ht="17.25" thickBot="1" x14ac:dyDescent="0.35">
      <c r="A36" s="24">
        <f t="shared" si="1"/>
        <v>31</v>
      </c>
      <c r="B36" s="3" t="s">
        <v>194</v>
      </c>
      <c r="C36" s="25" t="s">
        <v>39</v>
      </c>
      <c r="D36" s="33">
        <v>2</v>
      </c>
      <c r="E36" s="233">
        <v>0</v>
      </c>
      <c r="F36" s="34">
        <f t="shared" si="0"/>
        <v>0</v>
      </c>
    </row>
    <row r="37" spans="1:6" x14ac:dyDescent="0.3">
      <c r="A37" s="290" t="s">
        <v>218</v>
      </c>
      <c r="B37" s="291"/>
      <c r="C37" s="291"/>
      <c r="D37" s="291"/>
      <c r="E37" s="296"/>
      <c r="F37" s="37">
        <f>SUM(F6:F36)</f>
        <v>0</v>
      </c>
    </row>
    <row r="38" spans="1:6" x14ac:dyDescent="0.3">
      <c r="A38" s="290" t="s">
        <v>217</v>
      </c>
      <c r="B38" s="291"/>
      <c r="C38" s="291"/>
      <c r="D38" s="291"/>
      <c r="E38" s="292"/>
      <c r="F38" s="37">
        <f>(F37*0.8)/(12*5)</f>
        <v>0</v>
      </c>
    </row>
    <row r="39" spans="1:6" x14ac:dyDescent="0.3">
      <c r="A39" s="293" t="s">
        <v>439</v>
      </c>
      <c r="B39" s="294"/>
      <c r="C39" s="294"/>
      <c r="D39" s="294"/>
      <c r="E39" s="295"/>
      <c r="F39" s="38">
        <f>F38/189</f>
        <v>0</v>
      </c>
    </row>
    <row r="40" spans="1:6" ht="5.0999999999999996" customHeight="1" x14ac:dyDescent="0.3">
      <c r="A40" s="70"/>
      <c r="B40" s="70"/>
      <c r="C40" s="70"/>
      <c r="D40" s="71"/>
      <c r="E40" s="72"/>
      <c r="F40" s="72"/>
    </row>
    <row r="41" spans="1:6" ht="17.25" thickBot="1" x14ac:dyDescent="0.35">
      <c r="A41" s="300" t="s">
        <v>23</v>
      </c>
      <c r="B41" s="300"/>
      <c r="C41" s="300"/>
      <c r="D41" s="300"/>
      <c r="E41" s="301"/>
      <c r="F41" s="300"/>
    </row>
    <row r="42" spans="1:6" x14ac:dyDescent="0.3">
      <c r="A42" s="39">
        <v>1</v>
      </c>
      <c r="B42" s="3" t="s">
        <v>424</v>
      </c>
      <c r="C42" s="25" t="s">
        <v>39</v>
      </c>
      <c r="D42" s="33">
        <v>8</v>
      </c>
      <c r="E42" s="231">
        <v>0</v>
      </c>
      <c r="F42" s="34">
        <f>E42*D42</f>
        <v>0</v>
      </c>
    </row>
    <row r="43" spans="1:6" x14ac:dyDescent="0.3">
      <c r="A43" s="39">
        <f>A42+1</f>
        <v>2</v>
      </c>
      <c r="B43" s="3" t="s">
        <v>195</v>
      </c>
      <c r="C43" s="25" t="s">
        <v>39</v>
      </c>
      <c r="D43" s="33">
        <v>6</v>
      </c>
      <c r="E43" s="232">
        <v>0</v>
      </c>
      <c r="F43" s="34">
        <f t="shared" ref="F43:F55" si="3">E43*D43</f>
        <v>0</v>
      </c>
    </row>
    <row r="44" spans="1:6" x14ac:dyDescent="0.3">
      <c r="A44" s="39">
        <f t="shared" ref="A44:A54" si="4">A43+1</f>
        <v>3</v>
      </c>
      <c r="B44" s="3" t="s">
        <v>196</v>
      </c>
      <c r="C44" s="25" t="s">
        <v>39</v>
      </c>
      <c r="D44" s="33">
        <v>6</v>
      </c>
      <c r="E44" s="232">
        <v>0</v>
      </c>
      <c r="F44" s="34">
        <f t="shared" si="3"/>
        <v>0</v>
      </c>
    </row>
    <row r="45" spans="1:6" x14ac:dyDescent="0.3">
      <c r="A45" s="39">
        <f t="shared" si="4"/>
        <v>4</v>
      </c>
      <c r="B45" s="3" t="s">
        <v>197</v>
      </c>
      <c r="C45" s="25" t="s">
        <v>39</v>
      </c>
      <c r="D45" s="33">
        <v>6</v>
      </c>
      <c r="E45" s="232">
        <v>0</v>
      </c>
      <c r="F45" s="34">
        <f t="shared" si="3"/>
        <v>0</v>
      </c>
    </row>
    <row r="46" spans="1:6" x14ac:dyDescent="0.3">
      <c r="A46" s="39">
        <f t="shared" si="4"/>
        <v>5</v>
      </c>
      <c r="B46" s="3" t="s">
        <v>171</v>
      </c>
      <c r="C46" s="25" t="s">
        <v>39</v>
      </c>
      <c r="D46" s="33">
        <v>6</v>
      </c>
      <c r="E46" s="232">
        <v>0</v>
      </c>
      <c r="F46" s="34">
        <f t="shared" si="3"/>
        <v>0</v>
      </c>
    </row>
    <row r="47" spans="1:6" x14ac:dyDescent="0.3">
      <c r="A47" s="39">
        <f t="shared" si="4"/>
        <v>6</v>
      </c>
      <c r="B47" s="3" t="s">
        <v>198</v>
      </c>
      <c r="C47" s="25" t="s">
        <v>39</v>
      </c>
      <c r="D47" s="33">
        <v>6</v>
      </c>
      <c r="E47" s="232">
        <v>0</v>
      </c>
      <c r="F47" s="34">
        <f t="shared" si="3"/>
        <v>0</v>
      </c>
    </row>
    <row r="48" spans="1:6" x14ac:dyDescent="0.3">
      <c r="A48" s="39">
        <f t="shared" si="4"/>
        <v>7</v>
      </c>
      <c r="B48" s="3" t="s">
        <v>199</v>
      </c>
      <c r="C48" s="25" t="s">
        <v>39</v>
      </c>
      <c r="D48" s="33">
        <v>12</v>
      </c>
      <c r="E48" s="232">
        <v>0</v>
      </c>
      <c r="F48" s="34">
        <f t="shared" si="3"/>
        <v>0</v>
      </c>
    </row>
    <row r="49" spans="1:6" x14ac:dyDescent="0.3">
      <c r="A49" s="39">
        <f t="shared" si="4"/>
        <v>8</v>
      </c>
      <c r="B49" s="3" t="s">
        <v>200</v>
      </c>
      <c r="C49" s="25" t="s">
        <v>39</v>
      </c>
      <c r="D49" s="33">
        <v>12</v>
      </c>
      <c r="E49" s="232">
        <v>0</v>
      </c>
      <c r="F49" s="34">
        <f t="shared" si="3"/>
        <v>0</v>
      </c>
    </row>
    <row r="50" spans="1:6" x14ac:dyDescent="0.3">
      <c r="A50" s="39">
        <f t="shared" si="4"/>
        <v>9</v>
      </c>
      <c r="B50" s="3" t="s">
        <v>201</v>
      </c>
      <c r="C50" s="25" t="s">
        <v>39</v>
      </c>
      <c r="D50" s="33">
        <v>5</v>
      </c>
      <c r="E50" s="232">
        <v>0</v>
      </c>
      <c r="F50" s="34">
        <f t="shared" si="3"/>
        <v>0</v>
      </c>
    </row>
    <row r="51" spans="1:6" x14ac:dyDescent="0.3">
      <c r="A51" s="39">
        <f t="shared" si="4"/>
        <v>10</v>
      </c>
      <c r="B51" s="3" t="s">
        <v>202</v>
      </c>
      <c r="C51" s="25" t="s">
        <v>39</v>
      </c>
      <c r="D51" s="33">
        <v>60</v>
      </c>
      <c r="E51" s="232">
        <v>0</v>
      </c>
      <c r="F51" s="34">
        <f t="shared" si="3"/>
        <v>0</v>
      </c>
    </row>
    <row r="52" spans="1:6" x14ac:dyDescent="0.3">
      <c r="A52" s="39">
        <f t="shared" si="4"/>
        <v>11</v>
      </c>
      <c r="B52" s="3" t="s">
        <v>203</v>
      </c>
      <c r="C52" s="25" t="s">
        <v>39</v>
      </c>
      <c r="D52" s="33">
        <v>24</v>
      </c>
      <c r="E52" s="232">
        <v>0</v>
      </c>
      <c r="F52" s="34">
        <f t="shared" si="3"/>
        <v>0</v>
      </c>
    </row>
    <row r="53" spans="1:6" x14ac:dyDescent="0.3">
      <c r="A53" s="39">
        <f t="shared" si="4"/>
        <v>12</v>
      </c>
      <c r="B53" s="3" t="s">
        <v>204</v>
      </c>
      <c r="C53" s="25" t="s">
        <v>39</v>
      </c>
      <c r="D53" s="33">
        <v>24</v>
      </c>
      <c r="E53" s="232">
        <v>0</v>
      </c>
      <c r="F53" s="34">
        <f t="shared" si="3"/>
        <v>0</v>
      </c>
    </row>
    <row r="54" spans="1:6" x14ac:dyDescent="0.3">
      <c r="A54" s="39">
        <f t="shared" si="4"/>
        <v>13</v>
      </c>
      <c r="B54" s="3" t="s">
        <v>205</v>
      </c>
      <c r="C54" s="25" t="s">
        <v>39</v>
      </c>
      <c r="D54" s="33">
        <v>3</v>
      </c>
      <c r="E54" s="232">
        <v>0</v>
      </c>
      <c r="F54" s="34">
        <f t="shared" si="3"/>
        <v>0</v>
      </c>
    </row>
    <row r="55" spans="1:6" ht="17.25" thickBot="1" x14ac:dyDescent="0.35">
      <c r="A55" s="39">
        <f>A54+1</f>
        <v>14</v>
      </c>
      <c r="B55" s="3" t="s">
        <v>206</v>
      </c>
      <c r="C55" s="25" t="s">
        <v>39</v>
      </c>
      <c r="D55" s="33">
        <v>24</v>
      </c>
      <c r="E55" s="233">
        <v>0</v>
      </c>
      <c r="F55" s="34">
        <f t="shared" si="3"/>
        <v>0</v>
      </c>
    </row>
    <row r="56" spans="1:6" ht="16.5" customHeight="1" x14ac:dyDescent="0.3">
      <c r="A56" s="290" t="s">
        <v>218</v>
      </c>
      <c r="B56" s="291"/>
      <c r="C56" s="291"/>
      <c r="D56" s="291"/>
      <c r="E56" s="296"/>
      <c r="F56" s="37">
        <f>SUM(F42:F55)</f>
        <v>0</v>
      </c>
    </row>
    <row r="57" spans="1:6" ht="16.5" customHeight="1" x14ac:dyDescent="0.3">
      <c r="A57" s="290" t="s">
        <v>217</v>
      </c>
      <c r="B57" s="291"/>
      <c r="C57" s="291"/>
      <c r="D57" s="291"/>
      <c r="E57" s="292"/>
      <c r="F57" s="37">
        <f>(F56*0.8)/(12*5)</f>
        <v>0</v>
      </c>
    </row>
    <row r="58" spans="1:6" ht="16.5" customHeight="1" x14ac:dyDescent="0.3">
      <c r="A58" s="293" t="s">
        <v>219</v>
      </c>
      <c r="B58" s="294"/>
      <c r="C58" s="294"/>
      <c r="D58" s="294"/>
      <c r="E58" s="295"/>
      <c r="F58" s="38">
        <f>F57/10</f>
        <v>0</v>
      </c>
    </row>
    <row r="59" spans="1:6" ht="5.0999999999999996" customHeight="1" x14ac:dyDescent="0.3">
      <c r="A59" s="70"/>
      <c r="B59" s="70"/>
      <c r="C59" s="70"/>
      <c r="D59" s="71"/>
      <c r="E59" s="72"/>
      <c r="F59" s="72"/>
    </row>
    <row r="60" spans="1:6" ht="17.25" thickBot="1" x14ac:dyDescent="0.35">
      <c r="A60" s="302" t="s">
        <v>207</v>
      </c>
      <c r="B60" s="303"/>
      <c r="C60" s="303"/>
      <c r="D60" s="303"/>
      <c r="E60" s="304"/>
      <c r="F60" s="305"/>
    </row>
    <row r="61" spans="1:6" x14ac:dyDescent="0.3">
      <c r="A61" s="24">
        <v>1</v>
      </c>
      <c r="B61" s="3" t="s">
        <v>208</v>
      </c>
      <c r="C61" s="25" t="s">
        <v>39</v>
      </c>
      <c r="D61" s="33">
        <v>1</v>
      </c>
      <c r="E61" s="231">
        <v>0</v>
      </c>
      <c r="F61" s="34">
        <f>D61*E61</f>
        <v>0</v>
      </c>
    </row>
    <row r="62" spans="1:6" x14ac:dyDescent="0.3">
      <c r="A62" s="24">
        <f>A61+1</f>
        <v>2</v>
      </c>
      <c r="B62" s="3" t="s">
        <v>209</v>
      </c>
      <c r="C62" s="25" t="s">
        <v>39</v>
      </c>
      <c r="D62" s="33">
        <v>1</v>
      </c>
      <c r="E62" s="232">
        <v>0</v>
      </c>
      <c r="F62" s="34">
        <f t="shared" ref="F62:F68" si="5">D62*E62</f>
        <v>0</v>
      </c>
    </row>
    <row r="63" spans="1:6" x14ac:dyDescent="0.3">
      <c r="A63" s="24">
        <f t="shared" ref="A63:A67" si="6">A62+1</f>
        <v>3</v>
      </c>
      <c r="B63" s="3" t="s">
        <v>210</v>
      </c>
      <c r="C63" s="25" t="s">
        <v>39</v>
      </c>
      <c r="D63" s="33">
        <v>1</v>
      </c>
      <c r="E63" s="232">
        <v>0</v>
      </c>
      <c r="F63" s="34">
        <f t="shared" si="5"/>
        <v>0</v>
      </c>
    </row>
    <row r="64" spans="1:6" x14ac:dyDescent="0.3">
      <c r="A64" s="24">
        <f t="shared" si="6"/>
        <v>4</v>
      </c>
      <c r="B64" s="3" t="s">
        <v>211</v>
      </c>
      <c r="C64" s="25" t="s">
        <v>39</v>
      </c>
      <c r="D64" s="33">
        <v>1</v>
      </c>
      <c r="E64" s="232">
        <v>0</v>
      </c>
      <c r="F64" s="34">
        <f t="shared" si="5"/>
        <v>0</v>
      </c>
    </row>
    <row r="65" spans="1:6" x14ac:dyDescent="0.3">
      <c r="A65" s="24">
        <f t="shared" si="6"/>
        <v>5</v>
      </c>
      <c r="B65" s="3" t="s">
        <v>212</v>
      </c>
      <c r="C65" s="25" t="s">
        <v>39</v>
      </c>
      <c r="D65" s="33">
        <v>1</v>
      </c>
      <c r="E65" s="232">
        <v>0</v>
      </c>
      <c r="F65" s="34">
        <f t="shared" si="5"/>
        <v>0</v>
      </c>
    </row>
    <row r="66" spans="1:6" x14ac:dyDescent="0.3">
      <c r="A66" s="24">
        <f t="shared" si="6"/>
        <v>6</v>
      </c>
      <c r="B66" s="3" t="s">
        <v>213</v>
      </c>
      <c r="C66" s="25" t="s">
        <v>39</v>
      </c>
      <c r="D66" s="33">
        <v>4</v>
      </c>
      <c r="E66" s="232">
        <v>0</v>
      </c>
      <c r="F66" s="34">
        <f t="shared" si="5"/>
        <v>0</v>
      </c>
    </row>
    <row r="67" spans="1:6" x14ac:dyDescent="0.3">
      <c r="A67" s="24">
        <f t="shared" si="6"/>
        <v>7</v>
      </c>
      <c r="B67" s="3" t="s">
        <v>214</v>
      </c>
      <c r="C67" s="25" t="s">
        <v>39</v>
      </c>
      <c r="D67" s="33">
        <v>45</v>
      </c>
      <c r="E67" s="232">
        <v>0</v>
      </c>
      <c r="F67" s="34">
        <f t="shared" si="5"/>
        <v>0</v>
      </c>
    </row>
    <row r="68" spans="1:6" ht="17.25" thickBot="1" x14ac:dyDescent="0.35">
      <c r="A68" s="24">
        <f>A67+1</f>
        <v>8</v>
      </c>
      <c r="B68" s="3" t="s">
        <v>215</v>
      </c>
      <c r="C68" s="25" t="s">
        <v>39</v>
      </c>
      <c r="D68" s="33">
        <v>2</v>
      </c>
      <c r="E68" s="233">
        <v>0</v>
      </c>
      <c r="F68" s="34">
        <f t="shared" si="5"/>
        <v>0</v>
      </c>
    </row>
    <row r="69" spans="1:6" x14ac:dyDescent="0.3">
      <c r="A69" s="290" t="s">
        <v>218</v>
      </c>
      <c r="B69" s="291"/>
      <c r="C69" s="291"/>
      <c r="D69" s="291"/>
      <c r="E69" s="296"/>
      <c r="F69" s="37">
        <f>SUM(F61:F68)</f>
        <v>0</v>
      </c>
    </row>
    <row r="70" spans="1:6" x14ac:dyDescent="0.3">
      <c r="A70" s="290" t="s">
        <v>217</v>
      </c>
      <c r="B70" s="291"/>
      <c r="C70" s="291"/>
      <c r="D70" s="291"/>
      <c r="E70" s="292"/>
      <c r="F70" s="37">
        <f>(F69*0.8)/(12*5)</f>
        <v>0</v>
      </c>
    </row>
    <row r="71" spans="1:6" x14ac:dyDescent="0.3">
      <c r="A71" s="293" t="s">
        <v>220</v>
      </c>
      <c r="B71" s="294"/>
      <c r="C71" s="294"/>
      <c r="D71" s="294"/>
      <c r="E71" s="295"/>
      <c r="F71" s="38">
        <f>F70/5</f>
        <v>0</v>
      </c>
    </row>
  </sheetData>
  <mergeCells count="18">
    <mergeCell ref="A1:F1"/>
    <mergeCell ref="A5:F5"/>
    <mergeCell ref="A41:F41"/>
    <mergeCell ref="A60:F60"/>
    <mergeCell ref="E2:F2"/>
    <mergeCell ref="A2:A3"/>
    <mergeCell ref="B2:B3"/>
    <mergeCell ref="C2:C3"/>
    <mergeCell ref="D2:D3"/>
    <mergeCell ref="A37:E37"/>
    <mergeCell ref="A38:E38"/>
    <mergeCell ref="A39:E39"/>
    <mergeCell ref="A56:E56"/>
    <mergeCell ref="A57:E57"/>
    <mergeCell ref="A58:E58"/>
    <mergeCell ref="A69:E69"/>
    <mergeCell ref="A70:E70"/>
    <mergeCell ref="A71:E71"/>
  </mergeCells>
  <conditionalFormatting sqref="F37:F38 C42:F55 C61:F68 C6:F36">
    <cfRule type="cellIs" dxfId="2" priority="9" operator="lessThan">
      <formula>#REF!</formula>
    </cfRule>
  </conditionalFormatting>
  <conditionalFormatting sqref="F56:F57">
    <cfRule type="cellIs" dxfId="1" priority="2" operator="lessThan">
      <formula>#REF!</formula>
    </cfRule>
  </conditionalFormatting>
  <conditionalFormatting sqref="F69:F70">
    <cfRule type="cellIs" dxfId="0" priority="1" operator="lessThan">
      <formula>#REF!</formula>
    </cfRule>
  </conditionalFormatting>
  <printOptions horizontalCentered="1"/>
  <pageMargins left="0.51181102362204722" right="0.51181102362204722" top="0.78740157480314965" bottom="0.78740157480314965" header="0.11811023622047245" footer="0.31496062992125984"/>
  <pageSetup paperSize="9" orientation="landscape" r:id="rId1"/>
  <headerFooter>
    <oddHeader>&amp;C&amp;G</oddHeader>
  </headerFooter>
  <rowBreaks count="2" manualBreakCount="2">
    <brk id="40" max="16383" man="1"/>
    <brk id="59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3"/>
  <sheetViews>
    <sheetView zoomScaleNormal="100" workbookViewId="0">
      <selection activeCell="A3" sqref="A3:B3"/>
    </sheetView>
  </sheetViews>
  <sheetFormatPr defaultRowHeight="15.75" x14ac:dyDescent="0.25"/>
  <cols>
    <col min="1" max="1" width="55.7109375" style="53" customWidth="1"/>
    <col min="2" max="2" width="20.7109375" style="62" customWidth="1"/>
    <col min="3" max="3" width="9.28515625" style="53" customWidth="1"/>
    <col min="4" max="16384" width="9.140625" style="53"/>
  </cols>
  <sheetData>
    <row r="1" spans="1:5" ht="17.25" x14ac:dyDescent="0.25">
      <c r="A1" s="308" t="s">
        <v>0</v>
      </c>
      <c r="B1" s="308"/>
      <c r="C1" s="52"/>
      <c r="D1" s="52"/>
      <c r="E1" s="52"/>
    </row>
    <row r="2" spans="1:5" ht="17.25" x14ac:dyDescent="0.25">
      <c r="A2" s="309" t="s">
        <v>1</v>
      </c>
      <c r="B2" s="309"/>
      <c r="C2" s="52"/>
      <c r="D2" s="52"/>
      <c r="E2" s="52"/>
    </row>
    <row r="3" spans="1:5" ht="17.25" x14ac:dyDescent="0.25">
      <c r="A3" s="309" t="s">
        <v>2</v>
      </c>
      <c r="B3" s="309"/>
      <c r="C3" s="52"/>
      <c r="D3" s="52"/>
      <c r="E3" s="52"/>
    </row>
    <row r="4" spans="1:5" ht="17.25" x14ac:dyDescent="0.25">
      <c r="A4" s="52"/>
      <c r="B4" s="52"/>
      <c r="C4" s="52"/>
      <c r="D4" s="52"/>
      <c r="E4" s="52"/>
    </row>
    <row r="5" spans="1:5" ht="18" thickBot="1" x14ac:dyDescent="0.3">
      <c r="A5" s="310" t="s">
        <v>329</v>
      </c>
      <c r="B5" s="311"/>
      <c r="C5" s="50" t="s">
        <v>337</v>
      </c>
      <c r="D5" s="52"/>
      <c r="E5" s="52"/>
    </row>
    <row r="6" spans="1:5" ht="17.25" x14ac:dyDescent="0.25">
      <c r="A6" s="54" t="s">
        <v>331</v>
      </c>
      <c r="B6" s="234">
        <v>0</v>
      </c>
      <c r="C6" s="55"/>
      <c r="D6" s="52"/>
      <c r="E6" s="52"/>
    </row>
    <row r="7" spans="1:5" ht="18" thickBot="1" x14ac:dyDescent="0.3">
      <c r="A7" s="54" t="s">
        <v>332</v>
      </c>
      <c r="B7" s="235">
        <v>0</v>
      </c>
      <c r="C7" s="55"/>
      <c r="D7" s="52"/>
      <c r="E7" s="52"/>
    </row>
    <row r="8" spans="1:5" ht="17.25" x14ac:dyDescent="0.25">
      <c r="A8" s="56" t="s">
        <v>5</v>
      </c>
      <c r="B8" s="57">
        <f>(B6*22)-(B7*22)</f>
        <v>0</v>
      </c>
      <c r="C8" s="55"/>
      <c r="D8" s="52"/>
      <c r="E8" s="52"/>
    </row>
    <row r="9" spans="1:5" ht="17.25" x14ac:dyDescent="0.25">
      <c r="A9" s="51"/>
      <c r="B9" s="58"/>
      <c r="C9" s="55"/>
      <c r="D9" s="52"/>
      <c r="E9" s="52"/>
    </row>
    <row r="10" spans="1:5" ht="18" thickBot="1" x14ac:dyDescent="0.3">
      <c r="A10" s="310" t="s">
        <v>330</v>
      </c>
      <c r="B10" s="311"/>
      <c r="C10" s="59"/>
      <c r="D10" s="52"/>
      <c r="E10" s="52"/>
    </row>
    <row r="11" spans="1:5" ht="17.25" x14ac:dyDescent="0.25">
      <c r="A11" s="54" t="s">
        <v>3</v>
      </c>
      <c r="B11" s="234">
        <v>0</v>
      </c>
      <c r="C11" s="55"/>
      <c r="D11" s="52"/>
      <c r="E11" s="52"/>
    </row>
    <row r="12" spans="1:5" ht="18" thickBot="1" x14ac:dyDescent="0.3">
      <c r="A12" s="54" t="s">
        <v>4</v>
      </c>
      <c r="B12" s="235">
        <v>0</v>
      </c>
      <c r="C12" s="55"/>
      <c r="D12" s="52"/>
      <c r="E12" s="52"/>
    </row>
    <row r="13" spans="1:5" ht="17.25" x14ac:dyDescent="0.25">
      <c r="A13" s="60" t="s">
        <v>5</v>
      </c>
      <c r="B13" s="61">
        <f>(B12*B11)*22</f>
        <v>0</v>
      </c>
      <c r="C13" s="52"/>
      <c r="D13" s="52"/>
      <c r="E13" s="52"/>
    </row>
  </sheetData>
  <mergeCells count="5">
    <mergeCell ref="A1:B1"/>
    <mergeCell ref="A2:B2"/>
    <mergeCell ref="A3:B3"/>
    <mergeCell ref="A10:B10"/>
    <mergeCell ref="A5:B5"/>
  </mergeCells>
  <dataValidations count="1">
    <dataValidation type="decimal" allowBlank="1" showInputMessage="1" showErrorMessage="1" prompt="Quantidade - Informar a quantidade diária de deslocamentos por funcionário SOMENTE SE HOUVER O FORNECIMENTO DE VALE-TRANSPORTE. Se não houver, digite zero." sqref="B12">
      <formula1>0</formula1>
      <formula2>4</formula2>
    </dataValidation>
  </dataValidations>
  <printOptions horizontalCentered="1"/>
  <pageMargins left="0.51181102362204722" right="0.51181102362204722" top="0.78740157480314965" bottom="0.78740157480314965" header="0.11811023622047245" footer="0.31496062992125984"/>
  <pageSetup paperSize="9" orientation="portrait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14"/>
  <sheetViews>
    <sheetView zoomScaleNormal="100" workbookViewId="0">
      <selection activeCell="N20" sqref="N20"/>
    </sheetView>
  </sheetViews>
  <sheetFormatPr defaultRowHeight="16.5" x14ac:dyDescent="0.25"/>
  <cols>
    <col min="1" max="1" width="4.7109375" style="83" customWidth="1"/>
    <col min="2" max="2" width="50.7109375" style="74" customWidth="1"/>
    <col min="3" max="4" width="25.7109375" style="74" customWidth="1"/>
    <col min="5" max="5" width="9.140625" style="74" customWidth="1"/>
    <col min="6" max="16384" width="9.140625" style="74"/>
  </cols>
  <sheetData>
    <row r="1" spans="1:5" ht="30" customHeight="1" x14ac:dyDescent="0.25">
      <c r="A1" s="319" t="s">
        <v>221</v>
      </c>
      <c r="B1" s="320"/>
      <c r="C1" s="320"/>
      <c r="D1" s="321"/>
      <c r="E1" s="73" t="s">
        <v>441</v>
      </c>
    </row>
    <row r="2" spans="1:5" x14ac:dyDescent="0.25">
      <c r="A2" s="322" t="s">
        <v>222</v>
      </c>
      <c r="B2" s="252"/>
      <c r="C2" s="252"/>
      <c r="D2" s="323"/>
    </row>
    <row r="3" spans="1:5" x14ac:dyDescent="0.25">
      <c r="A3" s="199" t="s">
        <v>223</v>
      </c>
      <c r="B3" s="328" t="s">
        <v>224</v>
      </c>
      <c r="C3" s="330"/>
      <c r="D3" s="221"/>
    </row>
    <row r="4" spans="1:5" x14ac:dyDescent="0.25">
      <c r="A4" s="199" t="s">
        <v>225</v>
      </c>
      <c r="B4" s="333" t="s">
        <v>339</v>
      </c>
      <c r="C4" s="333"/>
      <c r="D4" s="76" t="s">
        <v>340</v>
      </c>
    </row>
    <row r="5" spans="1:5" x14ac:dyDescent="0.25">
      <c r="A5" s="199" t="s">
        <v>226</v>
      </c>
      <c r="B5" s="328" t="s">
        <v>227</v>
      </c>
      <c r="C5" s="330"/>
      <c r="D5" s="77"/>
    </row>
    <row r="6" spans="1:5" x14ac:dyDescent="0.25">
      <c r="A6" s="199" t="s">
        <v>228</v>
      </c>
      <c r="B6" s="328" t="s">
        <v>229</v>
      </c>
      <c r="C6" s="329"/>
      <c r="D6" s="214"/>
    </row>
    <row r="7" spans="1:5" x14ac:dyDescent="0.25">
      <c r="A7" s="322" t="s">
        <v>230</v>
      </c>
      <c r="B7" s="252"/>
      <c r="C7" s="252"/>
      <c r="D7" s="324"/>
    </row>
    <row r="8" spans="1:5" x14ac:dyDescent="0.25">
      <c r="A8" s="357" t="s">
        <v>231</v>
      </c>
      <c r="B8" s="248"/>
      <c r="C8" s="200" t="s">
        <v>232</v>
      </c>
      <c r="D8" s="201" t="s">
        <v>328</v>
      </c>
    </row>
    <row r="9" spans="1:5" x14ac:dyDescent="0.25">
      <c r="A9" s="358" t="s">
        <v>233</v>
      </c>
      <c r="B9" s="359"/>
      <c r="C9" s="80" t="s">
        <v>234</v>
      </c>
      <c r="D9" s="81">
        <v>1</v>
      </c>
    </row>
    <row r="10" spans="1:5" x14ac:dyDescent="0.25">
      <c r="A10" s="360"/>
      <c r="B10" s="361"/>
      <c r="C10" s="215" t="s">
        <v>235</v>
      </c>
      <c r="D10" s="221" t="s">
        <v>338</v>
      </c>
    </row>
    <row r="11" spans="1:5" x14ac:dyDescent="0.25">
      <c r="A11" s="362"/>
      <c r="B11" s="363"/>
      <c r="C11" s="80" t="s">
        <v>236</v>
      </c>
      <c r="D11" s="214"/>
    </row>
    <row r="12" spans="1:5" x14ac:dyDescent="0.25">
      <c r="A12" s="322" t="s">
        <v>237</v>
      </c>
      <c r="B12" s="252"/>
      <c r="C12" s="252"/>
      <c r="D12" s="324"/>
    </row>
    <row r="13" spans="1:5" x14ac:dyDescent="0.25">
      <c r="A13" s="322" t="s">
        <v>238</v>
      </c>
      <c r="B13" s="252"/>
      <c r="C13" s="252"/>
      <c r="D13" s="324"/>
    </row>
    <row r="14" spans="1:5" x14ac:dyDescent="0.25">
      <c r="A14" s="199">
        <v>1</v>
      </c>
      <c r="B14" s="328" t="s">
        <v>231</v>
      </c>
      <c r="C14" s="329"/>
      <c r="D14" s="81" t="str">
        <f>A9</f>
        <v>Controle de Estoque</v>
      </c>
    </row>
    <row r="15" spans="1:5" x14ac:dyDescent="0.25">
      <c r="A15" s="199">
        <v>2</v>
      </c>
      <c r="B15" s="328" t="s">
        <v>239</v>
      </c>
      <c r="C15" s="330"/>
      <c r="D15" s="170">
        <v>0</v>
      </c>
    </row>
    <row r="16" spans="1:5" x14ac:dyDescent="0.25">
      <c r="A16" s="199">
        <v>3</v>
      </c>
      <c r="B16" s="328" t="s">
        <v>240</v>
      </c>
      <c r="C16" s="329"/>
      <c r="D16" s="82" t="s">
        <v>241</v>
      </c>
    </row>
    <row r="17" spans="1:4" ht="17.25" thickBot="1" x14ac:dyDescent="0.3">
      <c r="A17" s="204">
        <v>4</v>
      </c>
      <c r="B17" s="331" t="s">
        <v>242</v>
      </c>
      <c r="C17" s="332"/>
      <c r="D17" s="222" t="s">
        <v>336</v>
      </c>
    </row>
    <row r="18" spans="1:4" ht="5.0999999999999996" customHeight="1" thickBot="1" x14ac:dyDescent="0.3">
      <c r="B18" s="84"/>
      <c r="C18" s="84"/>
      <c r="D18" s="85"/>
    </row>
    <row r="19" spans="1:4" ht="30" customHeight="1" x14ac:dyDescent="0.25">
      <c r="A19" s="325" t="s">
        <v>243</v>
      </c>
      <c r="B19" s="326"/>
      <c r="C19" s="326"/>
      <c r="D19" s="327"/>
    </row>
    <row r="20" spans="1:4" x14ac:dyDescent="0.25">
      <c r="A20" s="86">
        <v>1</v>
      </c>
      <c r="B20" s="364" t="s">
        <v>244</v>
      </c>
      <c r="C20" s="364"/>
      <c r="D20" s="87" t="s">
        <v>245</v>
      </c>
    </row>
    <row r="21" spans="1:4" x14ac:dyDescent="0.25">
      <c r="A21" s="88" t="s">
        <v>223</v>
      </c>
      <c r="B21" s="365" t="s">
        <v>246</v>
      </c>
      <c r="C21" s="366"/>
      <c r="D21" s="89">
        <f>D15</f>
        <v>0</v>
      </c>
    </row>
    <row r="22" spans="1:4" x14ac:dyDescent="0.25">
      <c r="A22" s="86" t="s">
        <v>225</v>
      </c>
      <c r="B22" s="317" t="s">
        <v>247</v>
      </c>
      <c r="C22" s="318"/>
      <c r="D22" s="220">
        <v>0</v>
      </c>
    </row>
    <row r="23" spans="1:4" ht="30" customHeight="1" thickBot="1" x14ac:dyDescent="0.3">
      <c r="A23" s="344" t="s">
        <v>248</v>
      </c>
      <c r="B23" s="345"/>
      <c r="C23" s="345"/>
      <c r="D23" s="90">
        <f>D21+D22</f>
        <v>0</v>
      </c>
    </row>
    <row r="24" spans="1:4" ht="5.0999999999999996" customHeight="1" thickBot="1" x14ac:dyDescent="0.3">
      <c r="A24" s="91"/>
      <c r="B24" s="91"/>
      <c r="C24" s="91"/>
      <c r="D24" s="92"/>
    </row>
    <row r="25" spans="1:4" ht="30" customHeight="1" x14ac:dyDescent="0.25">
      <c r="A25" s="314" t="s">
        <v>249</v>
      </c>
      <c r="B25" s="315"/>
      <c r="C25" s="315"/>
      <c r="D25" s="316"/>
    </row>
    <row r="26" spans="1:4" x14ac:dyDescent="0.25">
      <c r="A26" s="202" t="s">
        <v>250</v>
      </c>
      <c r="B26" s="93" t="s">
        <v>251</v>
      </c>
      <c r="C26" s="203" t="s">
        <v>252</v>
      </c>
      <c r="D26" s="94" t="s">
        <v>245</v>
      </c>
    </row>
    <row r="27" spans="1:4" x14ac:dyDescent="0.25">
      <c r="A27" s="95" t="s">
        <v>223</v>
      </c>
      <c r="B27" s="96" t="s">
        <v>253</v>
      </c>
      <c r="C27" s="97">
        <f>(1/12)</f>
        <v>8.3333333333333329E-2</v>
      </c>
      <c r="D27" s="98">
        <f>$D$23*C27</f>
        <v>0</v>
      </c>
    </row>
    <row r="28" spans="1:4" x14ac:dyDescent="0.25">
      <c r="A28" s="202" t="s">
        <v>225</v>
      </c>
      <c r="B28" s="99" t="s">
        <v>254</v>
      </c>
      <c r="C28" s="100">
        <f>(1/3)*(1/12)</f>
        <v>2.7777777777777776E-2</v>
      </c>
      <c r="D28" s="101">
        <f>D23*C28</f>
        <v>0</v>
      </c>
    </row>
    <row r="29" spans="1:4" x14ac:dyDescent="0.25">
      <c r="A29" s="202" t="s">
        <v>226</v>
      </c>
      <c r="B29" s="99" t="s">
        <v>255</v>
      </c>
      <c r="C29" s="100">
        <f>(1/12)</f>
        <v>8.3333333333333329E-2</v>
      </c>
      <c r="D29" s="101">
        <f>D23*C29</f>
        <v>0</v>
      </c>
    </row>
    <row r="30" spans="1:4" x14ac:dyDescent="0.25">
      <c r="A30" s="346" t="s">
        <v>256</v>
      </c>
      <c r="B30" s="347"/>
      <c r="C30" s="347"/>
      <c r="D30" s="102">
        <f>SUM(D27:D29)</f>
        <v>0</v>
      </c>
    </row>
    <row r="31" spans="1:4" x14ac:dyDescent="0.25">
      <c r="A31" s="202" t="s">
        <v>257</v>
      </c>
      <c r="B31" s="203" t="s">
        <v>258</v>
      </c>
      <c r="C31" s="203" t="s">
        <v>252</v>
      </c>
      <c r="D31" s="94" t="s">
        <v>245</v>
      </c>
    </row>
    <row r="32" spans="1:4" x14ac:dyDescent="0.25">
      <c r="A32" s="202" t="s">
        <v>223</v>
      </c>
      <c r="B32" s="99" t="s">
        <v>259</v>
      </c>
      <c r="C32" s="100">
        <v>0.2</v>
      </c>
      <c r="D32" s="101">
        <f>($D$23+$D$30)*C32</f>
        <v>0</v>
      </c>
    </row>
    <row r="33" spans="1:4" x14ac:dyDescent="0.25">
      <c r="A33" s="202" t="s">
        <v>225</v>
      </c>
      <c r="B33" s="99" t="s">
        <v>260</v>
      </c>
      <c r="C33" s="103">
        <v>2.5000000000000001E-2</v>
      </c>
      <c r="D33" s="101">
        <f t="shared" ref="D33:D39" si="0">($D$23+$D$30)*C33</f>
        <v>0</v>
      </c>
    </row>
    <row r="34" spans="1:4" x14ac:dyDescent="0.25">
      <c r="A34" s="202" t="s">
        <v>226</v>
      </c>
      <c r="B34" s="104" t="s">
        <v>261</v>
      </c>
      <c r="C34" s="100">
        <v>0.03</v>
      </c>
      <c r="D34" s="105">
        <f t="shared" si="0"/>
        <v>0</v>
      </c>
    </row>
    <row r="35" spans="1:4" x14ac:dyDescent="0.25">
      <c r="A35" s="202" t="s">
        <v>228</v>
      </c>
      <c r="B35" s="99" t="s">
        <v>262</v>
      </c>
      <c r="C35" s="97">
        <v>1.4999999999999999E-2</v>
      </c>
      <c r="D35" s="101">
        <f t="shared" si="0"/>
        <v>0</v>
      </c>
    </row>
    <row r="36" spans="1:4" x14ac:dyDescent="0.25">
      <c r="A36" s="202" t="s">
        <v>263</v>
      </c>
      <c r="B36" s="99" t="s">
        <v>264</v>
      </c>
      <c r="C36" s="100">
        <v>0.01</v>
      </c>
      <c r="D36" s="101">
        <f t="shared" si="0"/>
        <v>0</v>
      </c>
    </row>
    <row r="37" spans="1:4" x14ac:dyDescent="0.25">
      <c r="A37" s="202" t="s">
        <v>265</v>
      </c>
      <c r="B37" s="99" t="s">
        <v>266</v>
      </c>
      <c r="C37" s="100">
        <v>6.0000000000000001E-3</v>
      </c>
      <c r="D37" s="101">
        <f t="shared" si="0"/>
        <v>0</v>
      </c>
    </row>
    <row r="38" spans="1:4" x14ac:dyDescent="0.25">
      <c r="A38" s="202" t="s">
        <v>267</v>
      </c>
      <c r="B38" s="99" t="s">
        <v>268</v>
      </c>
      <c r="C38" s="100">
        <v>2E-3</v>
      </c>
      <c r="D38" s="101">
        <f t="shared" si="0"/>
        <v>0</v>
      </c>
    </row>
    <row r="39" spans="1:4" x14ac:dyDescent="0.25">
      <c r="A39" s="202" t="s">
        <v>269</v>
      </c>
      <c r="B39" s="99" t="s">
        <v>270</v>
      </c>
      <c r="C39" s="100">
        <v>0.08</v>
      </c>
      <c r="D39" s="101">
        <f t="shared" si="0"/>
        <v>0</v>
      </c>
    </row>
    <row r="40" spans="1:4" x14ac:dyDescent="0.25">
      <c r="A40" s="346" t="s">
        <v>271</v>
      </c>
      <c r="B40" s="347"/>
      <c r="C40" s="106">
        <f>SUM(C32:C39)</f>
        <v>0.36800000000000005</v>
      </c>
      <c r="D40" s="102">
        <f>SUM(D32:D39)</f>
        <v>0</v>
      </c>
    </row>
    <row r="41" spans="1:4" x14ac:dyDescent="0.25">
      <c r="A41" s="202" t="s">
        <v>272</v>
      </c>
      <c r="B41" s="347" t="s">
        <v>273</v>
      </c>
      <c r="C41" s="347"/>
      <c r="D41" s="94" t="s">
        <v>245</v>
      </c>
    </row>
    <row r="42" spans="1:4" x14ac:dyDescent="0.25">
      <c r="A42" s="202" t="s">
        <v>223</v>
      </c>
      <c r="B42" s="312" t="s">
        <v>274</v>
      </c>
      <c r="C42" s="313"/>
      <c r="D42" s="101">
        <f>BENEFICIOS!B13-(D21*6%)</f>
        <v>0</v>
      </c>
    </row>
    <row r="43" spans="1:4" x14ac:dyDescent="0.25">
      <c r="A43" s="202" t="s">
        <v>225</v>
      </c>
      <c r="B43" s="312" t="s">
        <v>275</v>
      </c>
      <c r="C43" s="313"/>
      <c r="D43" s="107">
        <f>BENEFICIOS!B8</f>
        <v>0</v>
      </c>
    </row>
    <row r="44" spans="1:4" x14ac:dyDescent="0.25">
      <c r="A44" s="202" t="s">
        <v>226</v>
      </c>
      <c r="B44" s="312" t="s">
        <v>276</v>
      </c>
      <c r="C44" s="382"/>
      <c r="D44" s="101">
        <v>0</v>
      </c>
    </row>
    <row r="45" spans="1:4" x14ac:dyDescent="0.25">
      <c r="A45" s="202" t="s">
        <v>228</v>
      </c>
      <c r="B45" s="312" t="s">
        <v>277</v>
      </c>
      <c r="C45" s="382"/>
      <c r="D45" s="101">
        <v>0</v>
      </c>
    </row>
    <row r="46" spans="1:4" x14ac:dyDescent="0.25">
      <c r="A46" s="346" t="s">
        <v>278</v>
      </c>
      <c r="B46" s="347"/>
      <c r="C46" s="347"/>
      <c r="D46" s="108">
        <f>SUM(D42:D45)</f>
        <v>0</v>
      </c>
    </row>
    <row r="47" spans="1:4" x14ac:dyDescent="0.25">
      <c r="A47" s="346" t="s">
        <v>372</v>
      </c>
      <c r="B47" s="347"/>
      <c r="C47" s="347"/>
      <c r="D47" s="94" t="s">
        <v>245</v>
      </c>
    </row>
    <row r="48" spans="1:4" x14ac:dyDescent="0.25">
      <c r="A48" s="202" t="s">
        <v>250</v>
      </c>
      <c r="B48" s="312" t="s">
        <v>251</v>
      </c>
      <c r="C48" s="313"/>
      <c r="D48" s="101">
        <f>D30</f>
        <v>0</v>
      </c>
    </row>
    <row r="49" spans="1:4" x14ac:dyDescent="0.25">
      <c r="A49" s="202" t="s">
        <v>257</v>
      </c>
      <c r="B49" s="312" t="s">
        <v>258</v>
      </c>
      <c r="C49" s="313"/>
      <c r="D49" s="101">
        <f>D40</f>
        <v>0</v>
      </c>
    </row>
    <row r="50" spans="1:4" x14ac:dyDescent="0.25">
      <c r="A50" s="202" t="s">
        <v>272</v>
      </c>
      <c r="B50" s="312" t="s">
        <v>273</v>
      </c>
      <c r="C50" s="313"/>
      <c r="D50" s="101">
        <f>D46</f>
        <v>0</v>
      </c>
    </row>
    <row r="51" spans="1:4" ht="30" customHeight="1" thickBot="1" x14ac:dyDescent="0.3">
      <c r="A51" s="386" t="s">
        <v>279</v>
      </c>
      <c r="B51" s="387"/>
      <c r="C51" s="387"/>
      <c r="D51" s="109">
        <f>SUM(D48:D50)</f>
        <v>0</v>
      </c>
    </row>
    <row r="52" spans="1:4" ht="5.0999999999999996" customHeight="1" thickBot="1" x14ac:dyDescent="0.3">
      <c r="A52" s="110"/>
      <c r="B52" s="110"/>
      <c r="C52" s="110"/>
      <c r="D52" s="111"/>
    </row>
    <row r="53" spans="1:4" ht="30" customHeight="1" x14ac:dyDescent="0.25">
      <c r="A53" s="388" t="s">
        <v>280</v>
      </c>
      <c r="B53" s="389"/>
      <c r="C53" s="389"/>
      <c r="D53" s="390"/>
    </row>
    <row r="54" spans="1:4" x14ac:dyDescent="0.25">
      <c r="A54" s="112" t="s">
        <v>281</v>
      </c>
      <c r="B54" s="113" t="s">
        <v>282</v>
      </c>
      <c r="C54" s="113" t="s">
        <v>252</v>
      </c>
      <c r="D54" s="114" t="s">
        <v>245</v>
      </c>
    </row>
    <row r="55" spans="1:4" x14ac:dyDescent="0.25">
      <c r="A55" s="115" t="s">
        <v>223</v>
      </c>
      <c r="B55" s="116" t="s">
        <v>283</v>
      </c>
      <c r="C55" s="117">
        <f>0.05*(1/12)</f>
        <v>4.1666666666666666E-3</v>
      </c>
      <c r="D55" s="118">
        <f>$D$23*C55</f>
        <v>0</v>
      </c>
    </row>
    <row r="56" spans="1:4" ht="33" x14ac:dyDescent="0.25">
      <c r="A56" s="119" t="s">
        <v>225</v>
      </c>
      <c r="B56" s="120" t="s">
        <v>284</v>
      </c>
      <c r="C56" s="121">
        <f>C55*0.08</f>
        <v>3.3333333333333332E-4</v>
      </c>
      <c r="D56" s="118">
        <f t="shared" ref="D56:D57" si="1">$D$23*C56</f>
        <v>0</v>
      </c>
    </row>
    <row r="57" spans="1:4" ht="33" x14ac:dyDescent="0.25">
      <c r="A57" s="119" t="s">
        <v>226</v>
      </c>
      <c r="B57" s="120" t="s">
        <v>285</v>
      </c>
      <c r="C57" s="121">
        <f>0.08*0.4*0.9*(1+1/12+1/12+(1/3*1/12))</f>
        <v>3.4399999999999993E-2</v>
      </c>
      <c r="D57" s="118">
        <f t="shared" si="1"/>
        <v>0</v>
      </c>
    </row>
    <row r="58" spans="1:4" x14ac:dyDescent="0.25">
      <c r="A58" s="391" t="s">
        <v>286</v>
      </c>
      <c r="B58" s="392"/>
      <c r="C58" s="392"/>
      <c r="D58" s="123">
        <f>SUM(D55:D57)</f>
        <v>0</v>
      </c>
    </row>
    <row r="59" spans="1:4" x14ac:dyDescent="0.25">
      <c r="A59" s="112" t="s">
        <v>287</v>
      </c>
      <c r="B59" s="113" t="s">
        <v>288</v>
      </c>
      <c r="C59" s="113" t="s">
        <v>252</v>
      </c>
      <c r="D59" s="114" t="s">
        <v>245</v>
      </c>
    </row>
    <row r="60" spans="1:4" x14ac:dyDescent="0.25">
      <c r="A60" s="112" t="s">
        <v>223</v>
      </c>
      <c r="B60" s="124" t="s">
        <v>289</v>
      </c>
      <c r="C60" s="121">
        <f>((7/30)/12)</f>
        <v>1.9444444444444445E-2</v>
      </c>
      <c r="D60" s="122">
        <f>$D$23*C60</f>
        <v>0</v>
      </c>
    </row>
    <row r="61" spans="1:4" ht="33" x14ac:dyDescent="0.25">
      <c r="A61" s="112" t="s">
        <v>225</v>
      </c>
      <c r="B61" s="125" t="s">
        <v>290</v>
      </c>
      <c r="C61" s="121">
        <f>C60*C40</f>
        <v>7.1555555555555565E-3</v>
      </c>
      <c r="D61" s="122">
        <f t="shared" ref="D61:D62" si="2">$D$23*C61</f>
        <v>0</v>
      </c>
    </row>
    <row r="62" spans="1:4" ht="33" x14ac:dyDescent="0.25">
      <c r="A62" s="112" t="s">
        <v>226</v>
      </c>
      <c r="B62" s="124" t="s">
        <v>291</v>
      </c>
      <c r="C62" s="121">
        <f>(0.0194*0.08)*0.4</f>
        <v>6.2080000000000002E-4</v>
      </c>
      <c r="D62" s="122">
        <f t="shared" si="2"/>
        <v>0</v>
      </c>
    </row>
    <row r="63" spans="1:4" x14ac:dyDescent="0.25">
      <c r="A63" s="393" t="s">
        <v>292</v>
      </c>
      <c r="B63" s="394"/>
      <c r="C63" s="394"/>
      <c r="D63" s="123">
        <f>SUM(D60:D62)</f>
        <v>0</v>
      </c>
    </row>
    <row r="64" spans="1:4" x14ac:dyDescent="0.25">
      <c r="A64" s="393" t="s">
        <v>293</v>
      </c>
      <c r="B64" s="394"/>
      <c r="C64" s="394"/>
      <c r="D64" s="114" t="s">
        <v>245</v>
      </c>
    </row>
    <row r="65" spans="1:4" x14ac:dyDescent="0.25">
      <c r="A65" s="112" t="s">
        <v>281</v>
      </c>
      <c r="B65" s="340" t="s">
        <v>282</v>
      </c>
      <c r="C65" s="341"/>
      <c r="D65" s="122">
        <f>D58</f>
        <v>0</v>
      </c>
    </row>
    <row r="66" spans="1:4" x14ac:dyDescent="0.25">
      <c r="A66" s="112" t="s">
        <v>287</v>
      </c>
      <c r="B66" s="340" t="s">
        <v>288</v>
      </c>
      <c r="C66" s="341"/>
      <c r="D66" s="122">
        <f>D63</f>
        <v>0</v>
      </c>
    </row>
    <row r="67" spans="1:4" ht="30" customHeight="1" thickBot="1" x14ac:dyDescent="0.3">
      <c r="A67" s="338" t="s">
        <v>279</v>
      </c>
      <c r="B67" s="339"/>
      <c r="C67" s="339"/>
      <c r="D67" s="126">
        <f>SUM(D65:D66)</f>
        <v>0</v>
      </c>
    </row>
    <row r="68" spans="1:4" ht="5.0999999999999996" customHeight="1" thickBot="1" x14ac:dyDescent="0.3">
      <c r="B68" s="83"/>
      <c r="C68" s="83"/>
      <c r="D68" s="127"/>
    </row>
    <row r="69" spans="1:4" ht="30" customHeight="1" x14ac:dyDescent="0.25">
      <c r="A69" s="352" t="s">
        <v>294</v>
      </c>
      <c r="B69" s="353"/>
      <c r="C69" s="353"/>
      <c r="D69" s="354"/>
    </row>
    <row r="70" spans="1:4" x14ac:dyDescent="0.25">
      <c r="A70" s="128" t="s">
        <v>295</v>
      </c>
      <c r="B70" s="129" t="s">
        <v>296</v>
      </c>
      <c r="C70" s="129" t="s">
        <v>333</v>
      </c>
      <c r="D70" s="130" t="s">
        <v>245</v>
      </c>
    </row>
    <row r="71" spans="1:4" x14ac:dyDescent="0.25">
      <c r="A71" s="131" t="s">
        <v>223</v>
      </c>
      <c r="B71" s="132" t="s">
        <v>297</v>
      </c>
      <c r="C71" s="133">
        <v>8.3299999999999999E-2</v>
      </c>
      <c r="D71" s="134">
        <f>($D$23+$D$51+$D$67)*C71</f>
        <v>0</v>
      </c>
    </row>
    <row r="72" spans="1:4" x14ac:dyDescent="0.25">
      <c r="A72" s="128" t="s">
        <v>225</v>
      </c>
      <c r="B72" s="135" t="s">
        <v>298</v>
      </c>
      <c r="C72" s="136">
        <v>9.9000000000000008E-3</v>
      </c>
      <c r="D72" s="137">
        <f t="shared" ref="D72:D75" si="3">($D$23+$D$51+$D$67)*C72</f>
        <v>0</v>
      </c>
    </row>
    <row r="73" spans="1:4" x14ac:dyDescent="0.25">
      <c r="A73" s="128" t="s">
        <v>226</v>
      </c>
      <c r="B73" s="135" t="s">
        <v>299</v>
      </c>
      <c r="C73" s="136">
        <v>2.0000000000000001E-4</v>
      </c>
      <c r="D73" s="137">
        <f t="shared" si="3"/>
        <v>0</v>
      </c>
    </row>
    <row r="74" spans="1:4" x14ac:dyDescent="0.25">
      <c r="A74" s="128" t="s">
        <v>228</v>
      </c>
      <c r="B74" s="135" t="s">
        <v>300</v>
      </c>
      <c r="C74" s="136">
        <v>8.3000000000000001E-3</v>
      </c>
      <c r="D74" s="137">
        <f t="shared" si="3"/>
        <v>0</v>
      </c>
    </row>
    <row r="75" spans="1:4" ht="33" x14ac:dyDescent="0.25">
      <c r="A75" s="128" t="s">
        <v>263</v>
      </c>
      <c r="B75" s="138" t="s">
        <v>301</v>
      </c>
      <c r="C75" s="136">
        <v>6.9999999999999999E-4</v>
      </c>
      <c r="D75" s="137">
        <f t="shared" si="3"/>
        <v>0</v>
      </c>
    </row>
    <row r="76" spans="1:4" x14ac:dyDescent="0.25">
      <c r="A76" s="128" t="s">
        <v>265</v>
      </c>
      <c r="B76" s="135" t="s">
        <v>302</v>
      </c>
      <c r="C76" s="139">
        <v>1.3899999999999999E-2</v>
      </c>
      <c r="D76" s="137">
        <f>D21*C76</f>
        <v>0</v>
      </c>
    </row>
    <row r="77" spans="1:4" x14ac:dyDescent="0.25">
      <c r="A77" s="128" t="s">
        <v>267</v>
      </c>
      <c r="B77" s="140" t="s">
        <v>303</v>
      </c>
      <c r="C77" s="136">
        <v>0</v>
      </c>
      <c r="D77" s="141">
        <f>($D$23+$D$51+$D$67)*C77</f>
        <v>0</v>
      </c>
    </row>
    <row r="78" spans="1:4" x14ac:dyDescent="0.25">
      <c r="A78" s="350" t="s">
        <v>304</v>
      </c>
      <c r="B78" s="351"/>
      <c r="C78" s="142">
        <f>SUM(C71:C77)</f>
        <v>0.11630000000000001</v>
      </c>
      <c r="D78" s="143">
        <f>SUM(D71:D77)</f>
        <v>0</v>
      </c>
    </row>
    <row r="79" spans="1:4" ht="49.5" x14ac:dyDescent="0.25">
      <c r="A79" s="128" t="s">
        <v>269</v>
      </c>
      <c r="B79" s="138" t="s">
        <v>305</v>
      </c>
      <c r="C79" s="136">
        <f>(0.1163-0.0099)*((1/12)+(1/12)+(1/12*1/3))</f>
        <v>2.0688888888888885E-2</v>
      </c>
      <c r="D79" s="137">
        <f>D78*C79</f>
        <v>0</v>
      </c>
    </row>
    <row r="80" spans="1:4" ht="33" x14ac:dyDescent="0.25">
      <c r="A80" s="128" t="s">
        <v>306</v>
      </c>
      <c r="B80" s="135" t="s">
        <v>307</v>
      </c>
      <c r="C80" s="136">
        <f>C40*C78</f>
        <v>4.2798400000000014E-2</v>
      </c>
      <c r="D80" s="137">
        <f>D78*C80</f>
        <v>0</v>
      </c>
    </row>
    <row r="81" spans="1:4" x14ac:dyDescent="0.25">
      <c r="A81" s="350" t="s">
        <v>308</v>
      </c>
      <c r="B81" s="351"/>
      <c r="C81" s="351"/>
      <c r="D81" s="144">
        <f>SUM(D78:D80)</f>
        <v>0</v>
      </c>
    </row>
    <row r="82" spans="1:4" x14ac:dyDescent="0.25">
      <c r="A82" s="350" t="s">
        <v>309</v>
      </c>
      <c r="B82" s="351"/>
      <c r="C82" s="351"/>
      <c r="D82" s="130" t="s">
        <v>245</v>
      </c>
    </row>
    <row r="83" spans="1:4" x14ac:dyDescent="0.25">
      <c r="A83" s="128" t="s">
        <v>295</v>
      </c>
      <c r="B83" s="377" t="s">
        <v>296</v>
      </c>
      <c r="C83" s="378"/>
      <c r="D83" s="145">
        <f>D81</f>
        <v>0</v>
      </c>
    </row>
    <row r="84" spans="1:4" ht="30" customHeight="1" thickBot="1" x14ac:dyDescent="0.3">
      <c r="A84" s="367" t="s">
        <v>279</v>
      </c>
      <c r="B84" s="368"/>
      <c r="C84" s="368"/>
      <c r="D84" s="146">
        <f>D83</f>
        <v>0</v>
      </c>
    </row>
    <row r="85" spans="1:4" ht="5.0999999999999996" customHeight="1" thickBot="1" x14ac:dyDescent="0.3">
      <c r="A85" s="85"/>
      <c r="B85" s="85"/>
      <c r="C85" s="85"/>
    </row>
    <row r="86" spans="1:4" ht="30" customHeight="1" x14ac:dyDescent="0.25">
      <c r="A86" s="369" t="s">
        <v>310</v>
      </c>
      <c r="B86" s="370"/>
      <c r="C86" s="370"/>
      <c r="D86" s="371"/>
    </row>
    <row r="87" spans="1:4" x14ac:dyDescent="0.25">
      <c r="A87" s="147">
        <v>5</v>
      </c>
      <c r="B87" s="383" t="s">
        <v>311</v>
      </c>
      <c r="C87" s="383"/>
      <c r="D87" s="148" t="s">
        <v>245</v>
      </c>
    </row>
    <row r="88" spans="1:4" x14ac:dyDescent="0.25">
      <c r="A88" s="149" t="s">
        <v>223</v>
      </c>
      <c r="B88" s="384" t="s">
        <v>334</v>
      </c>
      <c r="C88" s="385"/>
      <c r="D88" s="150">
        <f>EPI!H9</f>
        <v>0</v>
      </c>
    </row>
    <row r="89" spans="1:4" x14ac:dyDescent="0.25">
      <c r="A89" s="147" t="s">
        <v>225</v>
      </c>
      <c r="B89" s="348" t="s">
        <v>312</v>
      </c>
      <c r="C89" s="349"/>
      <c r="D89" s="151">
        <f>UNIF!E24</f>
        <v>0</v>
      </c>
    </row>
    <row r="90" spans="1:4" x14ac:dyDescent="0.25">
      <c r="A90" s="147" t="s">
        <v>226</v>
      </c>
      <c r="B90" s="348" t="s">
        <v>313</v>
      </c>
      <c r="C90" s="349"/>
      <c r="D90" s="151">
        <v>0</v>
      </c>
    </row>
    <row r="91" spans="1:4" x14ac:dyDescent="0.25">
      <c r="A91" s="147" t="s">
        <v>228</v>
      </c>
      <c r="B91" s="348" t="s">
        <v>314</v>
      </c>
      <c r="C91" s="349"/>
      <c r="D91" s="151">
        <f>EQUIP_FERR!F71</f>
        <v>0</v>
      </c>
    </row>
    <row r="92" spans="1:4" x14ac:dyDescent="0.25">
      <c r="A92" s="147" t="s">
        <v>263</v>
      </c>
      <c r="B92" s="348" t="s">
        <v>303</v>
      </c>
      <c r="C92" s="349"/>
      <c r="D92" s="151">
        <v>0</v>
      </c>
    </row>
    <row r="93" spans="1:4" ht="30" customHeight="1" thickBot="1" x14ac:dyDescent="0.3">
      <c r="A93" s="342" t="s">
        <v>335</v>
      </c>
      <c r="B93" s="343"/>
      <c r="C93" s="343"/>
      <c r="D93" s="152">
        <f>SUM(D88:D92)</f>
        <v>0</v>
      </c>
    </row>
    <row r="94" spans="1:4" ht="5.0999999999999996" customHeight="1" thickBot="1" x14ac:dyDescent="0.3">
      <c r="A94" s="85"/>
      <c r="B94" s="85"/>
      <c r="C94" s="85"/>
    </row>
    <row r="95" spans="1:4" ht="30" customHeight="1" x14ac:dyDescent="0.25">
      <c r="A95" s="372" t="s">
        <v>315</v>
      </c>
      <c r="B95" s="373"/>
      <c r="C95" s="373"/>
      <c r="D95" s="374"/>
    </row>
    <row r="96" spans="1:4" x14ac:dyDescent="0.25">
      <c r="A96" s="153">
        <v>6</v>
      </c>
      <c r="B96" s="154" t="s">
        <v>316</v>
      </c>
      <c r="C96" s="154" t="s">
        <v>252</v>
      </c>
      <c r="D96" s="155" t="s">
        <v>245</v>
      </c>
    </row>
    <row r="97" spans="1:5" x14ac:dyDescent="0.25">
      <c r="A97" s="156" t="s">
        <v>223</v>
      </c>
      <c r="B97" s="157" t="s">
        <v>317</v>
      </c>
      <c r="C97" s="158">
        <v>0.03</v>
      </c>
      <c r="D97" s="159">
        <f>D112*C97</f>
        <v>0</v>
      </c>
    </row>
    <row r="98" spans="1:5" x14ac:dyDescent="0.25">
      <c r="A98" s="379" t="s">
        <v>225</v>
      </c>
      <c r="B98" s="160" t="s">
        <v>318</v>
      </c>
      <c r="C98" s="161">
        <f>SUM(C99:C101)</f>
        <v>8.6499999999999994E-2</v>
      </c>
      <c r="D98" s="162">
        <f>SUM(D99:D101)</f>
        <v>0</v>
      </c>
    </row>
    <row r="99" spans="1:5" x14ac:dyDescent="0.25">
      <c r="A99" s="380"/>
      <c r="B99" s="163" t="s">
        <v>319</v>
      </c>
      <c r="C99" s="216">
        <v>6.4999999999999997E-3</v>
      </c>
      <c r="D99" s="164">
        <f>($D$112+$D$97+$D$102)*(C99)/(1-$C$98)</f>
        <v>0</v>
      </c>
      <c r="E99" s="165"/>
    </row>
    <row r="100" spans="1:5" x14ac:dyDescent="0.25">
      <c r="A100" s="380"/>
      <c r="B100" s="163" t="s">
        <v>320</v>
      </c>
      <c r="C100" s="216">
        <v>0.03</v>
      </c>
      <c r="D100" s="164">
        <f>($D$112+$D$97+$D$102)*(C100)/(1-$C$98)</f>
        <v>0</v>
      </c>
      <c r="E100" s="165"/>
    </row>
    <row r="101" spans="1:5" x14ac:dyDescent="0.25">
      <c r="A101" s="381"/>
      <c r="B101" s="163" t="s">
        <v>321</v>
      </c>
      <c r="C101" s="216">
        <v>0.05</v>
      </c>
      <c r="D101" s="164">
        <f>($D$112+$D$97+$D$102)*(C101)/(1-$C$98)</f>
        <v>0</v>
      </c>
      <c r="E101" s="165"/>
    </row>
    <row r="102" spans="1:5" x14ac:dyDescent="0.25">
      <c r="A102" s="153" t="s">
        <v>226</v>
      </c>
      <c r="B102" s="160" t="s">
        <v>322</v>
      </c>
      <c r="C102" s="158">
        <v>6.7900000000000002E-2</v>
      </c>
      <c r="D102" s="162">
        <f>(D112+D97)*C102</f>
        <v>0</v>
      </c>
    </row>
    <row r="103" spans="1:5" ht="30" customHeight="1" thickBot="1" x14ac:dyDescent="0.3">
      <c r="A103" s="375" t="s">
        <v>323</v>
      </c>
      <c r="B103" s="376"/>
      <c r="C103" s="166">
        <f>C97+C98+C102</f>
        <v>0.18440000000000001</v>
      </c>
      <c r="D103" s="167">
        <f>TRUNC((D97+D98+D102),2)</f>
        <v>0</v>
      </c>
    </row>
    <row r="104" spans="1:5" ht="5.0999999999999996" customHeight="1" thickBot="1" x14ac:dyDescent="0.3">
      <c r="A104" s="85"/>
      <c r="B104" s="85"/>
    </row>
    <row r="105" spans="1:5" ht="30" customHeight="1" x14ac:dyDescent="0.25">
      <c r="A105" s="334" t="s">
        <v>324</v>
      </c>
      <c r="B105" s="335"/>
      <c r="C105" s="335"/>
      <c r="D105" s="336"/>
    </row>
    <row r="106" spans="1:5" x14ac:dyDescent="0.25">
      <c r="A106" s="322" t="s">
        <v>325</v>
      </c>
      <c r="B106" s="252"/>
      <c r="C106" s="252"/>
      <c r="D106" s="79" t="s">
        <v>245</v>
      </c>
    </row>
    <row r="107" spans="1:5" x14ac:dyDescent="0.25">
      <c r="A107" s="168" t="s">
        <v>223</v>
      </c>
      <c r="B107" s="337" t="s">
        <v>243</v>
      </c>
      <c r="C107" s="337"/>
      <c r="D107" s="169">
        <f>$D$23</f>
        <v>0</v>
      </c>
    </row>
    <row r="108" spans="1:5" x14ac:dyDescent="0.25">
      <c r="A108" s="75" t="s">
        <v>225</v>
      </c>
      <c r="B108" s="333" t="s">
        <v>249</v>
      </c>
      <c r="C108" s="333"/>
      <c r="D108" s="170">
        <f>$D$51</f>
        <v>0</v>
      </c>
    </row>
    <row r="109" spans="1:5" x14ac:dyDescent="0.25">
      <c r="A109" s="75" t="s">
        <v>226</v>
      </c>
      <c r="B109" s="333" t="s">
        <v>280</v>
      </c>
      <c r="C109" s="333"/>
      <c r="D109" s="170">
        <f>$D$67</f>
        <v>0</v>
      </c>
    </row>
    <row r="110" spans="1:5" x14ac:dyDescent="0.25">
      <c r="A110" s="75" t="s">
        <v>228</v>
      </c>
      <c r="B110" s="333" t="s">
        <v>294</v>
      </c>
      <c r="C110" s="333"/>
      <c r="D110" s="170">
        <f>$D$84</f>
        <v>0</v>
      </c>
    </row>
    <row r="111" spans="1:5" x14ac:dyDescent="0.25">
      <c r="A111" s="75" t="s">
        <v>263</v>
      </c>
      <c r="B111" s="333" t="s">
        <v>310</v>
      </c>
      <c r="C111" s="333"/>
      <c r="D111" s="170">
        <f>$D$93</f>
        <v>0</v>
      </c>
    </row>
    <row r="112" spans="1:5" x14ac:dyDescent="0.25">
      <c r="A112" s="322" t="s">
        <v>326</v>
      </c>
      <c r="B112" s="252"/>
      <c r="C112" s="252"/>
      <c r="D112" s="171">
        <f>TRUNC(SUM(D107:D111),2)</f>
        <v>0</v>
      </c>
    </row>
    <row r="113" spans="1:4" x14ac:dyDescent="0.25">
      <c r="A113" s="75" t="s">
        <v>265</v>
      </c>
      <c r="B113" s="328" t="s">
        <v>315</v>
      </c>
      <c r="C113" s="329"/>
      <c r="D113" s="170">
        <f>D103</f>
        <v>0</v>
      </c>
    </row>
    <row r="114" spans="1:4" ht="30" customHeight="1" thickBot="1" x14ac:dyDescent="0.3">
      <c r="A114" s="355" t="s">
        <v>327</v>
      </c>
      <c r="B114" s="356"/>
      <c r="C114" s="356"/>
      <c r="D114" s="172">
        <f>D112+D113</f>
        <v>0</v>
      </c>
    </row>
  </sheetData>
  <mergeCells count="68">
    <mergeCell ref="A98:A101"/>
    <mergeCell ref="B4:C4"/>
    <mergeCell ref="B44:C44"/>
    <mergeCell ref="B45:C45"/>
    <mergeCell ref="B48:C48"/>
    <mergeCell ref="B49:C49"/>
    <mergeCell ref="B50:C50"/>
    <mergeCell ref="B65:C65"/>
    <mergeCell ref="B87:C87"/>
    <mergeCell ref="B88:C88"/>
    <mergeCell ref="B89:C89"/>
    <mergeCell ref="A51:C51"/>
    <mergeCell ref="A53:D53"/>
    <mergeCell ref="A58:C58"/>
    <mergeCell ref="A63:C63"/>
    <mergeCell ref="A64:C64"/>
    <mergeCell ref="B113:C113"/>
    <mergeCell ref="A114:C114"/>
    <mergeCell ref="B6:C6"/>
    <mergeCell ref="B5:C5"/>
    <mergeCell ref="B3:C3"/>
    <mergeCell ref="A8:B8"/>
    <mergeCell ref="A9:B11"/>
    <mergeCell ref="B20:C20"/>
    <mergeCell ref="B21:C21"/>
    <mergeCell ref="A81:C81"/>
    <mergeCell ref="A82:C82"/>
    <mergeCell ref="A84:C84"/>
    <mergeCell ref="A86:D86"/>
    <mergeCell ref="A95:D95"/>
    <mergeCell ref="A103:B103"/>
    <mergeCell ref="B83:C83"/>
    <mergeCell ref="A67:C67"/>
    <mergeCell ref="B66:C66"/>
    <mergeCell ref="A93:C93"/>
    <mergeCell ref="A13:D13"/>
    <mergeCell ref="A23:C23"/>
    <mergeCell ref="A30:C30"/>
    <mergeCell ref="A40:B40"/>
    <mergeCell ref="B41:C41"/>
    <mergeCell ref="B90:C90"/>
    <mergeCell ref="B91:C91"/>
    <mergeCell ref="B92:C92"/>
    <mergeCell ref="A78:B78"/>
    <mergeCell ref="A69:D69"/>
    <mergeCell ref="A47:C47"/>
    <mergeCell ref="A46:C46"/>
    <mergeCell ref="B42:C42"/>
    <mergeCell ref="B109:C109"/>
    <mergeCell ref="B110:C110"/>
    <mergeCell ref="B111:C111"/>
    <mergeCell ref="A112:C112"/>
    <mergeCell ref="A105:D105"/>
    <mergeCell ref="A106:C106"/>
    <mergeCell ref="B107:C107"/>
    <mergeCell ref="B108:C108"/>
    <mergeCell ref="B43:C43"/>
    <mergeCell ref="A25:D25"/>
    <mergeCell ref="B22:C22"/>
    <mergeCell ref="A1:D1"/>
    <mergeCell ref="A2:D2"/>
    <mergeCell ref="A7:D7"/>
    <mergeCell ref="A12:D12"/>
    <mergeCell ref="A19:D19"/>
    <mergeCell ref="B14:C14"/>
    <mergeCell ref="B15:C15"/>
    <mergeCell ref="B16:C16"/>
    <mergeCell ref="B17:C17"/>
  </mergeCells>
  <printOptions horizontalCentered="1"/>
  <pageMargins left="0.78740157480314965" right="0.78740157480314965" top="0.78740157480314965" bottom="0.59055118110236227" header="0.11811023622047245" footer="0.19685039370078741"/>
  <pageSetup paperSize="9" scale="99" orientation="landscape" r:id="rId1"/>
  <headerFooter>
    <oddHeader>&amp;C&amp;G</oddHeader>
    <oddFooter>&amp;CPLANILHA DE CUSTOS E FORMAÇÃO DE PREÇOS - ALMOXARIFE</oddFooter>
  </headerFooter>
  <rowBreaks count="7" manualBreakCount="7">
    <brk id="18" max="16383" man="1"/>
    <brk id="24" max="16383" man="1"/>
    <brk id="52" max="16383" man="1"/>
    <brk id="68" max="16383" man="1"/>
    <brk id="85" max="16383" man="1"/>
    <brk id="94" max="16383" man="1"/>
    <brk id="104" max="16383" man="1"/>
  </rowBreaks>
  <ignoredErrors>
    <ignoredError sqref="C28 D76" formula="1"/>
    <ignoredError sqref="C98" formulaRange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15</vt:i4>
      </vt:variant>
    </vt:vector>
  </HeadingPairs>
  <TitlesOfParts>
    <vt:vector size="30" baseType="lpstr">
      <vt:lpstr>VALOR_PROPOSTA</vt:lpstr>
      <vt:lpstr>RESUMO_PROPOSTA</vt:lpstr>
      <vt:lpstr>EPI</vt:lpstr>
      <vt:lpstr>UNIF</vt:lpstr>
      <vt:lpstr>MAT_LIMP</vt:lpstr>
      <vt:lpstr>MAT_COPEI</vt:lpstr>
      <vt:lpstr>EQUIP_FERR</vt:lpstr>
      <vt:lpstr>BENEFICIOS</vt:lpstr>
      <vt:lpstr>ALMOXARIFE</vt:lpstr>
      <vt:lpstr>COPEIRO</vt:lpstr>
      <vt:lpstr>AUX_LIMP</vt:lpstr>
      <vt:lpstr>ENCARREGADO</vt:lpstr>
      <vt:lpstr>AUX_LIMP_40%</vt:lpstr>
      <vt:lpstr>ENCARREGADO_40%</vt:lpstr>
      <vt:lpstr>M²</vt:lpstr>
      <vt:lpstr>ALMOXARIFE!Area_de_impressao</vt:lpstr>
      <vt:lpstr>AUX_LIMP!Area_de_impressao</vt:lpstr>
      <vt:lpstr>'AUX_LIMP_40%'!Area_de_impressao</vt:lpstr>
      <vt:lpstr>BENEFICIOS!Area_de_impressao</vt:lpstr>
      <vt:lpstr>COPEIRO!Area_de_impressao</vt:lpstr>
      <vt:lpstr>ENCARREGADO!Area_de_impressao</vt:lpstr>
      <vt:lpstr>'ENCARREGADO_40%'!Area_de_impressao</vt:lpstr>
      <vt:lpstr>EPI!Area_de_impressao</vt:lpstr>
      <vt:lpstr>EQUIP_FERR!Area_de_impressao</vt:lpstr>
      <vt:lpstr>MAT_COPEI!Area_de_impressao</vt:lpstr>
      <vt:lpstr>MAT_LIMP!Area_de_impressao</vt:lpstr>
      <vt:lpstr>RESUMO_PROPOSTA!Area_de_impressao</vt:lpstr>
      <vt:lpstr>UNIF!Area_de_impressao</vt:lpstr>
      <vt:lpstr>EQUIP_FERR!Titulos_de_impressao</vt:lpstr>
      <vt:lpstr>MAT_LIMP!Titulos_de_impressao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Capone</dc:creator>
  <cp:lastModifiedBy>Thiago Capone de Moraes</cp:lastModifiedBy>
  <cp:lastPrinted>2025-09-19T15:18:45Z</cp:lastPrinted>
  <dcterms:created xsi:type="dcterms:W3CDTF">2025-08-08T15:43:59Z</dcterms:created>
  <dcterms:modified xsi:type="dcterms:W3CDTF">2025-12-12T15:05:03Z</dcterms:modified>
</cp:coreProperties>
</file>